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240" yWindow="75" windowWidth="15480" windowHeight="7935" tabRatio="794" activeTab="18"/>
  </bookViews>
  <sheets>
    <sheet name="1" sheetId="12" r:id="rId1"/>
    <sheet name="2" sheetId="21" r:id="rId2"/>
    <sheet name="3" sheetId="20" r:id="rId3"/>
    <sheet name="4" sheetId="19" r:id="rId4"/>
    <sheet name="5" sheetId="18" r:id="rId5"/>
    <sheet name="9" sheetId="22" r:id="rId6"/>
    <sheet name="10" sheetId="10" r:id="rId7"/>
    <sheet name="11" sheetId="27" r:id="rId8"/>
    <sheet name="12" sheetId="28" r:id="rId9"/>
    <sheet name="15" sheetId="31" r:id="rId10"/>
    <sheet name="16" sheetId="32" r:id="rId11"/>
    <sheet name="17" sheetId="33" r:id="rId12"/>
    <sheet name="18" sheetId="34" r:id="rId13"/>
    <sheet name="19" sheetId="35" r:id="rId14"/>
    <sheet name="22" sheetId="38" r:id="rId15"/>
    <sheet name="23" sheetId="39" r:id="rId16"/>
    <sheet name="26" sheetId="42" r:id="rId17"/>
    <sheet name="29" sheetId="45" r:id="rId18"/>
    <sheet name="30" sheetId="46" r:id="rId19"/>
    <sheet name="TOTAL" sheetId="48" r:id="rId20"/>
    <sheet name="Plan1" sheetId="49" r:id="rId21"/>
  </sheets>
  <calcPr calcId="124519"/>
</workbook>
</file>

<file path=xl/calcChain.xml><?xml version="1.0" encoding="utf-8"?>
<calcChain xmlns="http://schemas.openxmlformats.org/spreadsheetml/2006/main">
  <c r="D3" i="48"/>
  <c r="D4"/>
  <c r="D5"/>
  <c r="D6"/>
  <c r="D7"/>
  <c r="D8"/>
  <c r="D9"/>
  <c r="D10"/>
  <c r="D11"/>
  <c r="D12"/>
  <c r="D13"/>
  <c r="D14"/>
  <c r="D15"/>
  <c r="D16"/>
  <c r="D17"/>
  <c r="D18"/>
  <c r="D19"/>
  <c r="D20"/>
  <c r="D2"/>
  <c r="E17" i="21"/>
  <c r="D2" i="19" l="1"/>
  <c r="D3"/>
  <c r="D4"/>
  <c r="D5"/>
  <c r="D6"/>
  <c r="C9"/>
  <c r="E9" s="1"/>
  <c r="C10"/>
  <c r="E10" s="1"/>
  <c r="C11"/>
  <c r="E11" s="1"/>
  <c r="B14" i="49"/>
  <c r="C14"/>
  <c r="C5" i="42"/>
  <c r="E5" s="1"/>
  <c r="C6"/>
  <c r="E6" s="1"/>
  <c r="C7"/>
  <c r="E7" s="1"/>
  <c r="D5" i="46"/>
  <c r="D6" i="39"/>
  <c r="D9" i="34"/>
  <c r="E9" i="27"/>
  <c r="D4"/>
  <c r="D7" i="22"/>
  <c r="D11" i="21"/>
  <c r="E7" i="12"/>
  <c r="C8"/>
  <c r="E8" s="1"/>
  <c r="C9"/>
  <c r="E9" s="1"/>
  <c r="C10"/>
  <c r="E10" s="1"/>
  <c r="C5" i="20"/>
  <c r="E5" s="1"/>
  <c r="C6"/>
  <c r="E6" s="1"/>
  <c r="C7"/>
  <c r="E7" s="1"/>
  <c r="E10" i="18"/>
  <c r="C11"/>
  <c r="E11" s="1"/>
  <c r="C12"/>
  <c r="E12" s="1"/>
  <c r="C13"/>
  <c r="E13" s="1"/>
  <c r="E11" i="22"/>
  <c r="C14"/>
  <c r="E14"/>
  <c r="C15"/>
  <c r="E15"/>
  <c r="C16"/>
  <c r="E16"/>
  <c r="E17"/>
  <c r="C7" i="48"/>
  <c r="E9" i="10"/>
  <c r="C10"/>
  <c r="E10" s="1"/>
  <c r="C11"/>
  <c r="E11" s="1"/>
  <c r="C12"/>
  <c r="E12" s="1"/>
  <c r="C7" i="28"/>
  <c r="E7" s="1"/>
  <c r="C8"/>
  <c r="E8" s="1"/>
  <c r="C9"/>
  <c r="E9" s="1"/>
  <c r="C7" i="31"/>
  <c r="E7" s="1"/>
  <c r="E12" s="1"/>
  <c r="C11" i="48" s="1"/>
  <c r="C8" i="31"/>
  <c r="E8" s="1"/>
  <c r="C9"/>
  <c r="E9" s="1"/>
  <c r="E11" i="32"/>
  <c r="E12"/>
  <c r="C13"/>
  <c r="E13" s="1"/>
  <c r="C14"/>
  <c r="E14" s="1"/>
  <c r="C15"/>
  <c r="E15" s="1"/>
  <c r="E13" i="33"/>
  <c r="E14"/>
  <c r="C15"/>
  <c r="E15" s="1"/>
  <c r="C16"/>
  <c r="E16" s="1"/>
  <c r="C17"/>
  <c r="E17" s="1"/>
  <c r="E9" i="35"/>
  <c r="C11"/>
  <c r="E11" s="1"/>
  <c r="E16" s="1"/>
  <c r="C15" i="48" s="1"/>
  <c r="C12" i="35"/>
  <c r="E12" s="1"/>
  <c r="C13"/>
  <c r="E13" s="1"/>
  <c r="E8" i="38"/>
  <c r="C10"/>
  <c r="E10" s="1"/>
  <c r="E13" s="1"/>
  <c r="C16" i="48" s="1"/>
  <c r="C11" i="38"/>
  <c r="E11" s="1"/>
  <c r="C12"/>
  <c r="E12" s="1"/>
  <c r="E7" i="45"/>
  <c r="C8"/>
  <c r="E8" s="1"/>
  <c r="E11" s="1"/>
  <c r="C19" i="48" s="1"/>
  <c r="C9" i="45"/>
  <c r="E9" s="1"/>
  <c r="C10"/>
  <c r="E10" s="1"/>
  <c r="D2"/>
  <c r="D3"/>
  <c r="D4"/>
  <c r="D5"/>
  <c r="D6"/>
  <c r="D2" i="42"/>
  <c r="D3"/>
  <c r="D4"/>
  <c r="D2" i="39"/>
  <c r="D3"/>
  <c r="D4"/>
  <c r="D5"/>
  <c r="D7"/>
  <c r="D8"/>
  <c r="D9"/>
  <c r="D16"/>
  <c r="B17" i="48"/>
  <c r="D2" i="38"/>
  <c r="D3"/>
  <c r="D4"/>
  <c r="D5"/>
  <c r="D6"/>
  <c r="D7"/>
  <c r="D2" i="35"/>
  <c r="D3"/>
  <c r="D4"/>
  <c r="D5"/>
  <c r="D6"/>
  <c r="D7"/>
  <c r="D8"/>
  <c r="D2" i="34"/>
  <c r="D3"/>
  <c r="D4"/>
  <c r="D5"/>
  <c r="D6"/>
  <c r="D7"/>
  <c r="D8"/>
  <c r="D10"/>
  <c r="D11"/>
  <c r="D12"/>
  <c r="D19"/>
  <c r="B14" i="48"/>
  <c r="D2" i="33"/>
  <c r="D3"/>
  <c r="D4"/>
  <c r="D5"/>
  <c r="D6"/>
  <c r="D7"/>
  <c r="D8"/>
  <c r="D9"/>
  <c r="D10"/>
  <c r="D11"/>
  <c r="D12"/>
  <c r="D2" i="32"/>
  <c r="D19" s="1"/>
  <c r="B12" i="48" s="1"/>
  <c r="D3" i="32"/>
  <c r="D4"/>
  <c r="D5"/>
  <c r="D6"/>
  <c r="D7"/>
  <c r="D8"/>
  <c r="D9"/>
  <c r="D10"/>
  <c r="D2" i="31"/>
  <c r="D3"/>
  <c r="D4"/>
  <c r="D5"/>
  <c r="D2" i="28"/>
  <c r="D3"/>
  <c r="D4"/>
  <c r="D5"/>
  <c r="D10" s="1"/>
  <c r="D2" i="10"/>
  <c r="D3"/>
  <c r="D4"/>
  <c r="D5"/>
  <c r="D6"/>
  <c r="D7"/>
  <c r="D2" i="22"/>
  <c r="D3"/>
  <c r="D4"/>
  <c r="D5"/>
  <c r="D6"/>
  <c r="D8"/>
  <c r="D9"/>
  <c r="D10"/>
  <c r="D17"/>
  <c r="B7" i="48"/>
  <c r="D2" i="18"/>
  <c r="D3"/>
  <c r="D4"/>
  <c r="D5"/>
  <c r="D6"/>
  <c r="D7"/>
  <c r="D8"/>
  <c r="D2" i="20"/>
  <c r="D3"/>
  <c r="D4"/>
  <c r="D2" i="21"/>
  <c r="D3"/>
  <c r="D4"/>
  <c r="D5"/>
  <c r="D6"/>
  <c r="D7"/>
  <c r="D8"/>
  <c r="D9"/>
  <c r="D10"/>
  <c r="D12"/>
  <c r="D13"/>
  <c r="D14"/>
  <c r="D21"/>
  <c r="B3" i="48"/>
  <c r="D2" i="12"/>
  <c r="D3"/>
  <c r="D4"/>
  <c r="D5"/>
  <c r="D6"/>
  <c r="D2" i="46"/>
  <c r="D3"/>
  <c r="D4"/>
  <c r="D6"/>
  <c r="D7"/>
  <c r="D8"/>
  <c r="D14"/>
  <c r="B20" i="48"/>
  <c r="E9" i="46"/>
  <c r="C11"/>
  <c r="E11"/>
  <c r="C12"/>
  <c r="E12"/>
  <c r="C13"/>
  <c r="E13"/>
  <c r="E14"/>
  <c r="C20" i="48"/>
  <c r="E10" i="39"/>
  <c r="C13"/>
  <c r="E13"/>
  <c r="C14"/>
  <c r="E14"/>
  <c r="C15"/>
  <c r="E15"/>
  <c r="E16"/>
  <c r="C17" i="48"/>
  <c r="E13" i="34"/>
  <c r="E14"/>
  <c r="C16"/>
  <c r="E16"/>
  <c r="C17"/>
  <c r="E17"/>
  <c r="C18"/>
  <c r="E18"/>
  <c r="E19"/>
  <c r="C14" i="48"/>
  <c r="D2" i="27"/>
  <c r="D3"/>
  <c r="D5"/>
  <c r="D6"/>
  <c r="D7"/>
  <c r="D13"/>
  <c r="E8"/>
  <c r="C10"/>
  <c r="E10"/>
  <c r="C11"/>
  <c r="E11"/>
  <c r="C12"/>
  <c r="E12"/>
  <c r="E13"/>
  <c r="F13"/>
  <c r="B9" i="48"/>
  <c r="C9"/>
  <c r="F17" i="22"/>
  <c r="E15" i="21"/>
  <c r="E16"/>
  <c r="C18"/>
  <c r="E18"/>
  <c r="C19"/>
  <c r="E19"/>
  <c r="C20"/>
  <c r="E20"/>
  <c r="E21"/>
  <c r="C3" i="48" s="1"/>
  <c r="F14" i="46"/>
  <c r="F16" i="39"/>
  <c r="F19" i="34"/>
  <c r="D11" i="45" l="1"/>
  <c r="B19" i="48"/>
  <c r="F11" i="45"/>
  <c r="D9" i="42"/>
  <c r="B18" i="48"/>
  <c r="E9" i="42"/>
  <c r="C18" i="48" s="1"/>
  <c r="D13" i="38"/>
  <c r="F13"/>
  <c r="B16" i="48"/>
  <c r="D16" i="35"/>
  <c r="F16"/>
  <c r="B15" i="48"/>
  <c r="D19" i="33"/>
  <c r="B13" i="48"/>
  <c r="F19" i="33"/>
  <c r="E19"/>
  <c r="C13" i="48" s="1"/>
  <c r="E19" i="32"/>
  <c r="C12" i="48" s="1"/>
  <c r="D12" i="31"/>
  <c r="B11" i="48"/>
  <c r="F12" i="31"/>
  <c r="B10" i="48"/>
  <c r="F10" i="28"/>
  <c r="E10"/>
  <c r="C10" i="48" s="1"/>
  <c r="D13" i="10"/>
  <c r="B8" i="48"/>
  <c r="F13" i="10"/>
  <c r="E13"/>
  <c r="C8" i="48" s="1"/>
  <c r="D18" i="18"/>
  <c r="B6" i="48"/>
  <c r="E18" i="18"/>
  <c r="C6" i="48" s="1"/>
  <c r="D16" i="19"/>
  <c r="B5" i="48"/>
  <c r="F16" i="19"/>
  <c r="E16"/>
  <c r="C5" i="48" s="1"/>
  <c r="D8" i="20"/>
  <c r="B4" i="48"/>
  <c r="F8" i="20"/>
  <c r="E8"/>
  <c r="C4" i="48" s="1"/>
  <c r="F21" i="21"/>
  <c r="D15" i="12"/>
  <c r="E15"/>
  <c r="C2" i="48" s="1"/>
  <c r="B2"/>
  <c r="F19" i="32"/>
  <c r="F9" i="42" l="1"/>
  <c r="C21" i="48"/>
  <c r="F18" i="18"/>
  <c r="B21" i="48"/>
  <c r="F15" i="12"/>
  <c r="D21" i="48" l="1"/>
</calcChain>
</file>

<file path=xl/sharedStrings.xml><?xml version="1.0" encoding="utf-8"?>
<sst xmlns="http://schemas.openxmlformats.org/spreadsheetml/2006/main" count="480" uniqueCount="134">
  <si>
    <t>Data</t>
  </si>
  <si>
    <t>Identificação</t>
  </si>
  <si>
    <t>Histórico</t>
  </si>
  <si>
    <t>Receita</t>
  </si>
  <si>
    <t>Despesa</t>
  </si>
  <si>
    <t>Receita-Despesa</t>
  </si>
  <si>
    <t>Procuração</t>
  </si>
  <si>
    <t>Certidão</t>
  </si>
  <si>
    <t>Rec.firmas</t>
  </si>
  <si>
    <t>Autenticações</t>
  </si>
  <si>
    <t>Cartões</t>
  </si>
  <si>
    <t>Recivil Procurações</t>
  </si>
  <si>
    <t>Recivil Certidão</t>
  </si>
  <si>
    <t>Recivil de Rec. Firma</t>
  </si>
  <si>
    <t>Recivil de Autenticações</t>
  </si>
  <si>
    <t>Recivil de Cartões</t>
  </si>
  <si>
    <t>Contador</t>
  </si>
  <si>
    <t>Mensalidade</t>
  </si>
  <si>
    <t>COPASA</t>
  </si>
  <si>
    <t>INSS</t>
  </si>
  <si>
    <t>Salários</t>
  </si>
  <si>
    <t>Aluguel</t>
  </si>
  <si>
    <t>FGTS</t>
  </si>
  <si>
    <t>TOTAL</t>
  </si>
  <si>
    <t>L. 66-P Fl. 46</t>
  </si>
  <si>
    <t>L. 66-P Fl. 47</t>
  </si>
  <si>
    <t>L. 66-P Fl. 48</t>
  </si>
  <si>
    <t>L. 66-P Fl. 49</t>
  </si>
  <si>
    <t>L. 66-P Fl. 50</t>
  </si>
  <si>
    <t>L. 66-P Fl. 51</t>
  </si>
  <si>
    <t>L. 66-P Fl. 52</t>
  </si>
  <si>
    <t>L. 66-P Fl. 53</t>
  </si>
  <si>
    <t>L. 66-P Fl. 54</t>
  </si>
  <si>
    <t>L. 66-P Fl. 55</t>
  </si>
  <si>
    <t>L. 66-P Fl. 56</t>
  </si>
  <si>
    <t>L. 66-P Fl. 57</t>
  </si>
  <si>
    <t>L. 66-P Fl. 58</t>
  </si>
  <si>
    <t>L. 66-P Fl. 59</t>
  </si>
  <si>
    <t>L. 66-P Fl. 60</t>
  </si>
  <si>
    <t>L. 66-P Fl. 61</t>
  </si>
  <si>
    <t>L. 66-P Fl. 62</t>
  </si>
  <si>
    <t>L. 66-P Fl. 65</t>
  </si>
  <si>
    <t>L. 66-P Fl. 66</t>
  </si>
  <si>
    <t>L. 66-P Fl. 67</t>
  </si>
  <si>
    <t>L. 66-P Fl. 68</t>
  </si>
  <si>
    <t>L. 66-P Fl. 69</t>
  </si>
  <si>
    <t>L. 66-P Fl. 70</t>
  </si>
  <si>
    <t>L. 66-P Fl. 63/64</t>
  </si>
  <si>
    <t>L. 66-P Fl. 71</t>
  </si>
  <si>
    <t>L. 66-P Fl. 72</t>
  </si>
  <si>
    <t>L. 66-P Fl. 73</t>
  </si>
  <si>
    <t>L. 66-P Fl. 74</t>
  </si>
  <si>
    <t>L. 66-P Fl. 75</t>
  </si>
  <si>
    <t>L. 66-P Fl. 76</t>
  </si>
  <si>
    <t>L. 66-P Fl. 77</t>
  </si>
  <si>
    <t>L. 66-P Fl. 78</t>
  </si>
  <si>
    <t>L. 66-P Fl. 79</t>
  </si>
  <si>
    <t>L. 66-P Fl. 80</t>
  </si>
  <si>
    <t>L. 66-P Fl. 81</t>
  </si>
  <si>
    <t>L. 66-P Fl. 82</t>
  </si>
  <si>
    <t>L. 66-P Fl. 83</t>
  </si>
  <si>
    <t>L. 66-P Fl. 84</t>
  </si>
  <si>
    <t>L. 66-P Fl. 85</t>
  </si>
  <si>
    <t>L. 66-P Fl. 86</t>
  </si>
  <si>
    <t>L. 66-P Fl. 87</t>
  </si>
  <si>
    <t>Escritura</t>
  </si>
  <si>
    <t>L. 159-N Fls 96</t>
  </si>
  <si>
    <t>L. 159-N Fls 97</t>
  </si>
  <si>
    <t>L. 159-N Fls 98</t>
  </si>
  <si>
    <t>L. 159-N Fls 99/100</t>
  </si>
  <si>
    <t>L. 159-N Fls 101</t>
  </si>
  <si>
    <t>L. 159-N Fls 102</t>
  </si>
  <si>
    <t>L. 159-N Fls 103</t>
  </si>
  <si>
    <t>L. 159-N Fls 104/106</t>
  </si>
  <si>
    <t>L. 159-N Fls 107</t>
  </si>
  <si>
    <t>L. 159-N Fls 108</t>
  </si>
  <si>
    <t>L. 159-N Fls 109</t>
  </si>
  <si>
    <t>L. 159-N Fls 110</t>
  </si>
  <si>
    <t>L. 159-N Fls 111</t>
  </si>
  <si>
    <t>L. 159-N Fls 112</t>
  </si>
  <si>
    <t>L. 159-N Fls 113</t>
  </si>
  <si>
    <t>L. 159-N Fls 114</t>
  </si>
  <si>
    <t>L. 159-N Fls 115</t>
  </si>
  <si>
    <t>L. 159-N Fls 116</t>
  </si>
  <si>
    <t>L. 159-N Fls 117</t>
  </si>
  <si>
    <t>L. 159-N Fls 118/119</t>
  </si>
  <si>
    <t>L. 159-N Fls 120</t>
  </si>
  <si>
    <t>L. 159-N Fls 121/122</t>
  </si>
  <si>
    <t>L. 159-N Fls 123</t>
  </si>
  <si>
    <t>L. 159-N Fls 124</t>
  </si>
  <si>
    <t>L. 159-N Fls 125</t>
  </si>
  <si>
    <t>Recivil Escrituras</t>
  </si>
  <si>
    <t>Internet</t>
  </si>
  <si>
    <t>BD Online</t>
  </si>
  <si>
    <t>Panolli</t>
  </si>
  <si>
    <t>Oi Conta Total</t>
  </si>
  <si>
    <t>13° Salários</t>
  </si>
  <si>
    <t>n.f. 00017</t>
  </si>
  <si>
    <t xml:space="preserve">mês </t>
  </si>
  <si>
    <t>nf</t>
  </si>
  <si>
    <t>receitas</t>
  </si>
  <si>
    <t xml:space="preserve">AS RECEITAS TEM QUE FECHAR COM AS NOTAS FISCAIS </t>
  </si>
  <si>
    <t xml:space="preserve">AS DESPESAS DEVEM SER TODAS  EFETIVADAS COM NOTAS FISCAIS </t>
  </si>
  <si>
    <t>EXEMPLO :</t>
  </si>
  <si>
    <t xml:space="preserve">MÊS DE ABRIL </t>
  </si>
  <si>
    <t>SUPERMERCADO</t>
  </si>
  <si>
    <t>GRAFICA</t>
  </si>
  <si>
    <t>CADEIRA</t>
  </si>
  <si>
    <t xml:space="preserve">SEM NOTA </t>
  </si>
  <si>
    <t>SEM NOTA</t>
  </si>
  <si>
    <t>PEDIDO</t>
  </si>
  <si>
    <t xml:space="preserve">ALUGUEL </t>
  </si>
  <si>
    <t xml:space="preserve">SEM RECIBO </t>
  </si>
  <si>
    <t>TODOS OS MESES</t>
  </si>
  <si>
    <t>Havia notas fiscais lançadas duas vezes  ( estas eu corrigi)</t>
  </si>
  <si>
    <t xml:space="preserve">Os documentos que estavam se notas fiscais  deixei caso vc ache que deva tirar  é so pegar as pastas  </t>
  </si>
  <si>
    <t>e ir conferindo e apagando .</t>
  </si>
  <si>
    <t>Bom Despacho 10/02/15</t>
  </si>
  <si>
    <t>Norma Gontijo</t>
  </si>
  <si>
    <t>OBSERVAÇOES :  ESTE LIVRO NÃO SUBSTITUI  O LIVRO FISCAL DIARIO CONTABIL .</t>
  </si>
  <si>
    <t>INSS 13° Salário</t>
  </si>
  <si>
    <t>Materiais de construção</t>
  </si>
  <si>
    <t>n.f. 392433</t>
  </si>
  <si>
    <t>n.f. 392428</t>
  </si>
  <si>
    <t>n.f. 392303</t>
  </si>
  <si>
    <t>n.f. 392307</t>
  </si>
  <si>
    <t>n.f. 392354</t>
  </si>
  <si>
    <t>n.f. 392306</t>
  </si>
  <si>
    <t>Devolução M. construção</t>
  </si>
  <si>
    <t>Materiais de  construção</t>
  </si>
  <si>
    <t>n.f. 393658</t>
  </si>
  <si>
    <t>Lanches</t>
  </si>
  <si>
    <t>ISS</t>
  </si>
  <si>
    <t>Papelaria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</si>
</sst>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&quot;R$ &quot;#,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43" fontId="3" fillId="0" borderId="2" xfId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top" wrapText="1"/>
    </xf>
    <xf numFmtId="43" fontId="3" fillId="0" borderId="3" xfId="1" applyFont="1" applyBorder="1" applyAlignment="1">
      <alignment horizontal="right" vertical="top" wrapText="1"/>
    </xf>
    <xf numFmtId="43" fontId="4" fillId="0" borderId="3" xfId="1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43" fontId="1" fillId="0" borderId="2" xfId="1" applyFont="1" applyBorder="1"/>
    <xf numFmtId="0" fontId="3" fillId="0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43" fontId="5" fillId="0" borderId="2" xfId="0" applyNumberFormat="1" applyFont="1" applyBorder="1"/>
    <xf numFmtId="14" fontId="3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43" fontId="3" fillId="0" borderId="4" xfId="1" applyFont="1" applyBorder="1" applyAlignment="1">
      <alignment horizontal="right" vertical="top" wrapText="1"/>
    </xf>
    <xf numFmtId="43" fontId="1" fillId="0" borderId="4" xfId="1" applyFont="1" applyBorder="1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164" fontId="0" fillId="0" borderId="5" xfId="0" applyNumberFormat="1" applyBorder="1"/>
    <xf numFmtId="164" fontId="5" fillId="0" borderId="5" xfId="0" applyNumberFormat="1" applyFont="1" applyBorder="1"/>
    <xf numFmtId="164" fontId="0" fillId="0" borderId="0" xfId="0" applyNumberFormat="1" applyBorder="1"/>
  </cellXfs>
  <cellStyles count="2">
    <cellStyle name="Normal" xfId="0" builtinId="0"/>
    <cellStyle name="Separador de milhares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0"/>
  <dimension ref="A1:F15"/>
  <sheetViews>
    <sheetView workbookViewId="0">
      <selection activeCell="C14" sqref="C14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41974</v>
      </c>
      <c r="B2" s="7" t="s">
        <v>6</v>
      </c>
      <c r="C2" s="7" t="s">
        <v>24</v>
      </c>
      <c r="D2" s="3">
        <f>71.43+4.29</f>
        <v>75.720000000000013</v>
      </c>
      <c r="E2" s="3"/>
      <c r="F2" s="8"/>
    </row>
    <row r="3" spans="1:6" ht="15" customHeight="1">
      <c r="A3" s="2">
        <v>41974</v>
      </c>
      <c r="B3" s="7" t="s">
        <v>6</v>
      </c>
      <c r="C3" s="7" t="s">
        <v>25</v>
      </c>
      <c r="D3" s="3">
        <f>71.43+4.29</f>
        <v>75.720000000000013</v>
      </c>
      <c r="E3" s="3"/>
      <c r="F3" s="8"/>
    </row>
    <row r="4" spans="1:6" ht="15" customHeight="1">
      <c r="A4" s="2">
        <v>41974</v>
      </c>
      <c r="B4" s="7" t="s">
        <v>8</v>
      </c>
      <c r="C4" s="7">
        <v>106</v>
      </c>
      <c r="D4" s="3">
        <f>(3.68+0.22)*C4</f>
        <v>413.40000000000003</v>
      </c>
      <c r="E4" s="3"/>
      <c r="F4" s="8"/>
    </row>
    <row r="5" spans="1:6" ht="15" customHeight="1">
      <c r="A5" s="2">
        <v>41974</v>
      </c>
      <c r="B5" s="7" t="s">
        <v>9</v>
      </c>
      <c r="C5" s="7">
        <v>79</v>
      </c>
      <c r="D5" s="3">
        <f t="shared" ref="D5:D6" si="0">(3.68+0.22)*C5</f>
        <v>308.10000000000002</v>
      </c>
      <c r="E5" s="3"/>
      <c r="F5" s="8"/>
    </row>
    <row r="6" spans="1:6" ht="15" customHeight="1">
      <c r="A6" s="2">
        <v>41974</v>
      </c>
      <c r="B6" s="7" t="s">
        <v>10</v>
      </c>
      <c r="C6" s="7">
        <v>10</v>
      </c>
      <c r="D6" s="3">
        <f t="shared" si="0"/>
        <v>39</v>
      </c>
      <c r="E6" s="3"/>
      <c r="F6" s="8"/>
    </row>
    <row r="7" spans="1:6" ht="15" customHeight="1">
      <c r="A7" s="2">
        <v>41974</v>
      </c>
      <c r="B7" s="7" t="s">
        <v>11</v>
      </c>
      <c r="C7" s="7"/>
      <c r="D7" s="3"/>
      <c r="E7" s="3">
        <f>4.29*2</f>
        <v>8.58</v>
      </c>
      <c r="F7" s="8"/>
    </row>
    <row r="8" spans="1:6" ht="15" customHeight="1">
      <c r="A8" s="2">
        <v>41974</v>
      </c>
      <c r="B8" s="7" t="s">
        <v>13</v>
      </c>
      <c r="C8" s="7">
        <f>C4</f>
        <v>106</v>
      </c>
      <c r="D8" s="3"/>
      <c r="E8" s="3">
        <f>0.22*C8</f>
        <v>23.32</v>
      </c>
      <c r="F8" s="8"/>
    </row>
    <row r="9" spans="1:6" ht="15" customHeight="1">
      <c r="A9" s="2">
        <v>41974</v>
      </c>
      <c r="B9" s="7" t="s">
        <v>14</v>
      </c>
      <c r="C9" s="7">
        <f>C5</f>
        <v>79</v>
      </c>
      <c r="D9" s="3"/>
      <c r="E9" s="3">
        <f t="shared" ref="E9:E10" si="1">0.22*C9</f>
        <v>17.38</v>
      </c>
      <c r="F9" s="8"/>
    </row>
    <row r="10" spans="1:6" ht="15" customHeight="1">
      <c r="A10" s="2">
        <v>41974</v>
      </c>
      <c r="B10" s="7" t="s">
        <v>15</v>
      </c>
      <c r="C10" s="7">
        <f>C6</f>
        <v>10</v>
      </c>
      <c r="D10" s="3"/>
      <c r="E10" s="3">
        <f t="shared" si="1"/>
        <v>2.2000000000000002</v>
      </c>
      <c r="F10" s="8"/>
    </row>
    <row r="11" spans="1:6" ht="15" customHeight="1">
      <c r="A11" s="2">
        <v>41974</v>
      </c>
      <c r="B11" s="9" t="s">
        <v>96</v>
      </c>
      <c r="C11" s="7"/>
      <c r="D11" s="3"/>
      <c r="E11" s="3">
        <v>1160.81</v>
      </c>
      <c r="F11" s="8"/>
    </row>
    <row r="12" spans="1:6" ht="15" customHeight="1">
      <c r="A12" s="2">
        <v>41974</v>
      </c>
      <c r="B12" s="7" t="s">
        <v>20</v>
      </c>
      <c r="C12" s="7"/>
      <c r="D12" s="3"/>
      <c r="E12" s="3">
        <v>3985.26</v>
      </c>
      <c r="F12" s="8"/>
    </row>
    <row r="13" spans="1:6" ht="15" customHeight="1">
      <c r="A13" s="2">
        <v>41974</v>
      </c>
      <c r="B13" s="7" t="s">
        <v>21</v>
      </c>
      <c r="C13" s="7"/>
      <c r="D13" s="3"/>
      <c r="E13" s="3">
        <v>1000</v>
      </c>
      <c r="F13" s="8"/>
    </row>
    <row r="14" spans="1:6" ht="15" customHeight="1">
      <c r="A14" s="17">
        <v>41974</v>
      </c>
      <c r="B14" s="18" t="s">
        <v>133</v>
      </c>
      <c r="C14" s="18" t="s">
        <v>97</v>
      </c>
      <c r="D14" s="19"/>
      <c r="E14" s="19">
        <v>100</v>
      </c>
      <c r="F14" s="20"/>
    </row>
    <row r="15" spans="1:6" ht="15" customHeight="1" thickBot="1">
      <c r="A15" s="4" t="s">
        <v>23</v>
      </c>
      <c r="B15" s="10"/>
      <c r="C15" s="10"/>
      <c r="D15" s="5">
        <f>SUM(D2:D14)</f>
        <v>911.94</v>
      </c>
      <c r="E15" s="5">
        <f>SUM(E7:E14)</f>
        <v>6297.55</v>
      </c>
      <c r="F15" s="6">
        <f>D15-E15</f>
        <v>-5385.6100000000006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9"/>
  <dimension ref="A1:F21"/>
  <sheetViews>
    <sheetView workbookViewId="0">
      <selection activeCell="E17" sqref="E17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41975</v>
      </c>
      <c r="B2" s="7" t="s">
        <v>6</v>
      </c>
      <c r="C2" s="7" t="s">
        <v>26</v>
      </c>
      <c r="D2" s="3">
        <f>71.43+4.29</f>
        <v>75.720000000000013</v>
      </c>
      <c r="E2" s="3"/>
      <c r="F2" s="8"/>
    </row>
    <row r="3" spans="1:6" ht="15" customHeight="1">
      <c r="A3" s="2">
        <v>41975</v>
      </c>
      <c r="B3" s="7" t="s">
        <v>6</v>
      </c>
      <c r="C3" s="7" t="s">
        <v>27</v>
      </c>
      <c r="D3" s="3">
        <f>11.98+0.72</f>
        <v>12.700000000000001</v>
      </c>
      <c r="E3" s="3"/>
      <c r="F3" s="8"/>
    </row>
    <row r="4" spans="1:6" ht="15" customHeight="1">
      <c r="A4" s="2">
        <v>41975</v>
      </c>
      <c r="B4" s="7" t="s">
        <v>6</v>
      </c>
      <c r="C4" s="7" t="s">
        <v>28</v>
      </c>
      <c r="D4" s="3">
        <f>71.43+4.29</f>
        <v>75.720000000000013</v>
      </c>
      <c r="E4" s="3"/>
      <c r="F4" s="8"/>
    </row>
    <row r="5" spans="1:6" ht="15" customHeight="1">
      <c r="A5" s="2">
        <v>41975</v>
      </c>
      <c r="B5" s="7" t="s">
        <v>6</v>
      </c>
      <c r="C5" s="7" t="s">
        <v>29</v>
      </c>
      <c r="D5" s="3">
        <f>71.43+4.29</f>
        <v>75.720000000000013</v>
      </c>
      <c r="E5" s="3"/>
      <c r="F5" s="8"/>
    </row>
    <row r="6" spans="1:6" ht="15" customHeight="1">
      <c r="A6" s="2">
        <v>41975</v>
      </c>
      <c r="B6" s="7" t="s">
        <v>6</v>
      </c>
      <c r="C6" s="7" t="s">
        <v>30</v>
      </c>
      <c r="D6" s="3">
        <f>71.43+4.29</f>
        <v>75.720000000000013</v>
      </c>
      <c r="E6" s="3"/>
      <c r="F6" s="8"/>
    </row>
    <row r="7" spans="1:6" ht="15" customHeight="1">
      <c r="A7" s="2">
        <v>41975</v>
      </c>
      <c r="B7" s="7" t="s">
        <v>6</v>
      </c>
      <c r="C7" s="7" t="s">
        <v>31</v>
      </c>
      <c r="D7" s="3">
        <f>71.43+4.29</f>
        <v>75.720000000000013</v>
      </c>
      <c r="E7" s="3"/>
      <c r="F7" s="8"/>
    </row>
    <row r="8" spans="1:6" ht="15" customHeight="1">
      <c r="A8" s="2">
        <v>41975</v>
      </c>
      <c r="B8" s="7" t="s">
        <v>65</v>
      </c>
      <c r="C8" s="13" t="s">
        <v>66</v>
      </c>
      <c r="D8" s="3">
        <f>818.71+49.03</f>
        <v>867.74</v>
      </c>
      <c r="E8" s="3"/>
      <c r="F8" s="8"/>
    </row>
    <row r="9" spans="1:6" ht="15" customHeight="1">
      <c r="A9" s="2">
        <v>41975</v>
      </c>
      <c r="B9" s="7" t="s">
        <v>65</v>
      </c>
      <c r="C9" s="13" t="s">
        <v>67</v>
      </c>
      <c r="D9" s="3">
        <f>676.64+40.52</f>
        <v>717.16</v>
      </c>
      <c r="E9" s="3"/>
      <c r="F9" s="8"/>
    </row>
    <row r="10" spans="1:6" ht="15" customHeight="1">
      <c r="A10" s="2">
        <v>41975</v>
      </c>
      <c r="B10" s="7" t="s">
        <v>65</v>
      </c>
      <c r="C10" s="13" t="s">
        <v>68</v>
      </c>
      <c r="D10" s="3">
        <f>32.64+1.95</f>
        <v>34.590000000000003</v>
      </c>
      <c r="E10" s="3"/>
      <c r="F10" s="8"/>
    </row>
    <row r="11" spans="1:6" ht="15" customHeight="1">
      <c r="A11" s="2">
        <v>41975</v>
      </c>
      <c r="B11" s="7" t="s">
        <v>7</v>
      </c>
      <c r="C11" s="7">
        <v>3</v>
      </c>
      <c r="D11" s="3">
        <f>(13.05+0.78)*C11</f>
        <v>41.49</v>
      </c>
      <c r="E11" s="3"/>
      <c r="F11" s="8"/>
    </row>
    <row r="12" spans="1:6" ht="15" customHeight="1">
      <c r="A12" s="2">
        <v>41975</v>
      </c>
      <c r="B12" s="7" t="s">
        <v>8</v>
      </c>
      <c r="C12" s="7">
        <v>112</v>
      </c>
      <c r="D12" s="3">
        <f>(3.68+0.22)*C12</f>
        <v>436.80000000000007</v>
      </c>
      <c r="E12" s="3"/>
      <c r="F12" s="8"/>
    </row>
    <row r="13" spans="1:6" ht="15" customHeight="1">
      <c r="A13" s="2">
        <v>41975</v>
      </c>
      <c r="B13" s="7" t="s">
        <v>9</v>
      </c>
      <c r="C13" s="7">
        <v>97</v>
      </c>
      <c r="D13" s="3">
        <f t="shared" ref="D13:D14" si="0">(3.68+0.22)*C13</f>
        <v>378.3</v>
      </c>
      <c r="E13" s="3"/>
      <c r="F13" s="8"/>
    </row>
    <row r="14" spans="1:6" ht="15" customHeight="1">
      <c r="A14" s="2">
        <v>41975</v>
      </c>
      <c r="B14" s="7" t="s">
        <v>10</v>
      </c>
      <c r="C14" s="7">
        <v>3</v>
      </c>
      <c r="D14" s="3">
        <f t="shared" si="0"/>
        <v>11.700000000000001</v>
      </c>
      <c r="E14" s="3"/>
      <c r="F14" s="8"/>
    </row>
    <row r="15" spans="1:6" ht="15" customHeight="1">
      <c r="A15" s="2">
        <v>41975</v>
      </c>
      <c r="B15" s="7" t="s">
        <v>11</v>
      </c>
      <c r="C15" s="7"/>
      <c r="D15" s="3"/>
      <c r="E15" s="3">
        <f>5*4.29+0.72</f>
        <v>22.169999999999998</v>
      </c>
      <c r="F15" s="8"/>
    </row>
    <row r="16" spans="1:6" ht="15" customHeight="1">
      <c r="A16" s="2">
        <v>41975</v>
      </c>
      <c r="B16" s="7" t="s">
        <v>91</v>
      </c>
      <c r="C16" s="7"/>
      <c r="D16" s="3"/>
      <c r="E16" s="3">
        <f>49.03+40.52+1.95</f>
        <v>91.500000000000014</v>
      </c>
      <c r="F16" s="8"/>
    </row>
    <row r="17" spans="1:6" ht="15" customHeight="1">
      <c r="A17" s="2">
        <v>41975</v>
      </c>
      <c r="B17" s="7" t="s">
        <v>12</v>
      </c>
      <c r="C17" s="7">
        <v>3</v>
      </c>
      <c r="D17" s="3"/>
      <c r="E17" s="3">
        <f>0.78*3</f>
        <v>2.34</v>
      </c>
      <c r="F17" s="8"/>
    </row>
    <row r="18" spans="1:6" ht="15" customHeight="1">
      <c r="A18" s="2">
        <v>41975</v>
      </c>
      <c r="B18" s="7" t="s">
        <v>13</v>
      </c>
      <c r="C18" s="7">
        <f>C12</f>
        <v>112</v>
      </c>
      <c r="D18" s="3"/>
      <c r="E18" s="3">
        <f>0.22*C18</f>
        <v>24.64</v>
      </c>
      <c r="F18" s="8"/>
    </row>
    <row r="19" spans="1:6" ht="15" customHeight="1">
      <c r="A19" s="2">
        <v>41975</v>
      </c>
      <c r="B19" s="7" t="s">
        <v>14</v>
      </c>
      <c r="C19" s="7">
        <f>C13</f>
        <v>97</v>
      </c>
      <c r="D19" s="3"/>
      <c r="E19" s="3">
        <f t="shared" ref="E19:E20" si="1">0.22*C19</f>
        <v>21.34</v>
      </c>
      <c r="F19" s="8"/>
    </row>
    <row r="20" spans="1:6" ht="15" customHeight="1">
      <c r="A20" s="2">
        <v>41975</v>
      </c>
      <c r="B20" s="7" t="s">
        <v>15</v>
      </c>
      <c r="C20" s="7">
        <f>C14</f>
        <v>3</v>
      </c>
      <c r="D20" s="3"/>
      <c r="E20" s="3">
        <f t="shared" si="1"/>
        <v>0.66</v>
      </c>
      <c r="F20" s="8"/>
    </row>
    <row r="21" spans="1:6" ht="15" customHeight="1" thickBot="1">
      <c r="A21" s="4" t="s">
        <v>23</v>
      </c>
      <c r="B21" s="10"/>
      <c r="C21" s="10"/>
      <c r="D21" s="5">
        <f>SUM(D2:D20)</f>
        <v>2879.0800000000004</v>
      </c>
      <c r="E21" s="5">
        <f>SUM(E2:E20)</f>
        <v>162.65000000000003</v>
      </c>
      <c r="F21" s="6">
        <f>D21-E21</f>
        <v>2716.4300000000003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18"/>
  <dimension ref="A1:F8"/>
  <sheetViews>
    <sheetView workbookViewId="0">
      <selection activeCell="A5" sqref="A5:XFD5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41976</v>
      </c>
      <c r="B2" s="7" t="s">
        <v>8</v>
      </c>
      <c r="C2" s="7">
        <v>126</v>
      </c>
      <c r="D2" s="3">
        <f>(3.68+0.22)*C2</f>
        <v>491.40000000000003</v>
      </c>
      <c r="E2" s="3"/>
      <c r="F2" s="8"/>
    </row>
    <row r="3" spans="1:6" ht="15" customHeight="1">
      <c r="A3" s="2">
        <v>41976</v>
      </c>
      <c r="B3" s="7" t="s">
        <v>9</v>
      </c>
      <c r="C3" s="7">
        <v>86</v>
      </c>
      <c r="D3" s="3">
        <f t="shared" ref="D3:D4" si="0">(3.68+0.22)*C3</f>
        <v>335.40000000000003</v>
      </c>
      <c r="E3" s="3"/>
      <c r="F3" s="8"/>
    </row>
    <row r="4" spans="1:6" ht="15" customHeight="1">
      <c r="A4" s="2">
        <v>41976</v>
      </c>
      <c r="B4" s="7" t="s">
        <v>10</v>
      </c>
      <c r="C4" s="7">
        <v>10</v>
      </c>
      <c r="D4" s="3">
        <f t="shared" si="0"/>
        <v>39</v>
      </c>
      <c r="E4" s="3"/>
      <c r="F4" s="8"/>
    </row>
    <row r="5" spans="1:6" ht="15" customHeight="1">
      <c r="A5" s="2">
        <v>41976</v>
      </c>
      <c r="B5" s="7" t="s">
        <v>13</v>
      </c>
      <c r="C5" s="7">
        <f>C2</f>
        <v>126</v>
      </c>
      <c r="D5" s="3"/>
      <c r="E5" s="3">
        <f>0.22*C5</f>
        <v>27.72</v>
      </c>
      <c r="F5" s="8"/>
    </row>
    <row r="6" spans="1:6" ht="15" customHeight="1">
      <c r="A6" s="2">
        <v>41976</v>
      </c>
      <c r="B6" s="7" t="s">
        <v>14</v>
      </c>
      <c r="C6" s="7">
        <f>C3</f>
        <v>86</v>
      </c>
      <c r="D6" s="3"/>
      <c r="E6" s="3">
        <f t="shared" ref="E6:E7" si="1">0.22*C6</f>
        <v>18.920000000000002</v>
      </c>
      <c r="F6" s="8"/>
    </row>
    <row r="7" spans="1:6" ht="15" customHeight="1">
      <c r="A7" s="2">
        <v>41976</v>
      </c>
      <c r="B7" s="7" t="s">
        <v>15</v>
      </c>
      <c r="C7" s="7">
        <f>C4</f>
        <v>10</v>
      </c>
      <c r="D7" s="3"/>
      <c r="E7" s="3">
        <f t="shared" si="1"/>
        <v>2.2000000000000002</v>
      </c>
      <c r="F7" s="8"/>
    </row>
    <row r="8" spans="1:6" ht="15" customHeight="1" thickBot="1">
      <c r="A8" s="4" t="s">
        <v>23</v>
      </c>
      <c r="B8" s="10"/>
      <c r="C8" s="10"/>
      <c r="D8" s="5">
        <f>SUM(D2:D7)</f>
        <v>865.80000000000007</v>
      </c>
      <c r="E8" s="5">
        <f>SUM(E2:E7)</f>
        <v>48.84</v>
      </c>
      <c r="F8" s="6">
        <f>D8-E8</f>
        <v>816.96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17"/>
  <dimension ref="A1:F16"/>
  <sheetViews>
    <sheetView workbookViewId="0">
      <selection activeCell="A9" sqref="A9:XFD9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41977</v>
      </c>
      <c r="B2" s="7" t="s">
        <v>6</v>
      </c>
      <c r="C2" s="7" t="s">
        <v>32</v>
      </c>
      <c r="D2" s="3">
        <f>71.43+4.29</f>
        <v>75.720000000000013</v>
      </c>
      <c r="E2" s="3"/>
      <c r="F2" s="8"/>
    </row>
    <row r="3" spans="1:6" ht="15" customHeight="1">
      <c r="A3" s="2">
        <v>41977</v>
      </c>
      <c r="B3" s="7" t="s">
        <v>65</v>
      </c>
      <c r="C3" s="13" t="s">
        <v>69</v>
      </c>
      <c r="D3" s="3">
        <f>814.31+48.77</f>
        <v>863.07999999999993</v>
      </c>
      <c r="E3" s="3"/>
      <c r="F3" s="8"/>
    </row>
    <row r="4" spans="1:6" ht="15" customHeight="1">
      <c r="A4" s="2">
        <v>41977</v>
      </c>
      <c r="B4" s="7" t="s">
        <v>8</v>
      </c>
      <c r="C4" s="7">
        <v>96</v>
      </c>
      <c r="D4" s="3">
        <f>(3.68+0.22)*C4</f>
        <v>374.40000000000003</v>
      </c>
      <c r="E4" s="3"/>
      <c r="F4" s="8"/>
    </row>
    <row r="5" spans="1:6" ht="15" customHeight="1">
      <c r="A5" s="2">
        <v>41977</v>
      </c>
      <c r="B5" s="7" t="s">
        <v>9</v>
      </c>
      <c r="C5" s="7">
        <v>118</v>
      </c>
      <c r="D5" s="3">
        <f t="shared" ref="D5:D6" si="0">(3.68+0.22)*C5</f>
        <v>460.20000000000005</v>
      </c>
      <c r="E5" s="3"/>
      <c r="F5" s="8"/>
    </row>
    <row r="6" spans="1:6" ht="15" customHeight="1">
      <c r="A6" s="2">
        <v>41977</v>
      </c>
      <c r="B6" s="7" t="s">
        <v>10</v>
      </c>
      <c r="C6" s="7">
        <v>15</v>
      </c>
      <c r="D6" s="3">
        <f t="shared" si="0"/>
        <v>58.500000000000007</v>
      </c>
      <c r="E6" s="3"/>
      <c r="F6" s="8"/>
    </row>
    <row r="7" spans="1:6" ht="15" customHeight="1">
      <c r="A7" s="2">
        <v>41977</v>
      </c>
      <c r="B7" s="7" t="s">
        <v>11</v>
      </c>
      <c r="C7" s="7"/>
      <c r="D7" s="3"/>
      <c r="E7" s="3">
        <v>4.29</v>
      </c>
      <c r="F7" s="8"/>
    </row>
    <row r="8" spans="1:6" ht="15" customHeight="1">
      <c r="A8" s="2">
        <v>41977</v>
      </c>
      <c r="B8" s="7" t="s">
        <v>91</v>
      </c>
      <c r="C8" s="7"/>
      <c r="D8" s="3"/>
      <c r="E8" s="3">
        <v>48.77</v>
      </c>
      <c r="F8" s="8"/>
    </row>
    <row r="9" spans="1:6" ht="15" customHeight="1">
      <c r="A9" s="2">
        <v>41977</v>
      </c>
      <c r="B9" s="7" t="s">
        <v>13</v>
      </c>
      <c r="C9" s="7">
        <f>C4</f>
        <v>96</v>
      </c>
      <c r="D9" s="3"/>
      <c r="E9" s="3">
        <f>0.22*C9</f>
        <v>21.12</v>
      </c>
      <c r="F9" s="8"/>
    </row>
    <row r="10" spans="1:6" ht="15" customHeight="1">
      <c r="A10" s="2">
        <v>41977</v>
      </c>
      <c r="B10" s="7" t="s">
        <v>14</v>
      </c>
      <c r="C10" s="7">
        <f>C5</f>
        <v>118</v>
      </c>
      <c r="D10" s="3"/>
      <c r="E10" s="3">
        <f t="shared" ref="E10:E11" si="1">0.22*C10</f>
        <v>25.96</v>
      </c>
      <c r="F10" s="8"/>
    </row>
    <row r="11" spans="1:6" ht="15" customHeight="1">
      <c r="A11" s="2">
        <v>41977</v>
      </c>
      <c r="B11" s="7" t="s">
        <v>15</v>
      </c>
      <c r="C11" s="7">
        <f>C6</f>
        <v>15</v>
      </c>
      <c r="D11" s="3"/>
      <c r="E11" s="3">
        <f t="shared" si="1"/>
        <v>3.3</v>
      </c>
      <c r="F11" s="8"/>
    </row>
    <row r="12" spans="1:6" ht="15" customHeight="1">
      <c r="A12" s="2">
        <v>41977</v>
      </c>
      <c r="B12" s="7" t="s">
        <v>129</v>
      </c>
      <c r="C12" s="7" t="s">
        <v>124</v>
      </c>
      <c r="D12" s="3"/>
      <c r="E12" s="3">
        <v>37</v>
      </c>
      <c r="F12" s="8"/>
    </row>
    <row r="13" spans="1:6" ht="15" customHeight="1">
      <c r="A13" s="2">
        <v>41977</v>
      </c>
      <c r="B13" s="7" t="s">
        <v>128</v>
      </c>
      <c r="C13" s="7" t="s">
        <v>127</v>
      </c>
      <c r="D13" s="3">
        <v>51</v>
      </c>
      <c r="E13" s="3"/>
      <c r="F13" s="8"/>
    </row>
    <row r="14" spans="1:6" ht="15" customHeight="1">
      <c r="A14" s="2">
        <v>41977</v>
      </c>
      <c r="B14" s="7" t="s">
        <v>121</v>
      </c>
      <c r="C14" s="7" t="s">
        <v>125</v>
      </c>
      <c r="D14" s="3"/>
      <c r="E14" s="3">
        <v>51</v>
      </c>
      <c r="F14" s="8"/>
    </row>
    <row r="15" spans="1:6" ht="15" customHeight="1">
      <c r="A15" s="2">
        <v>41977</v>
      </c>
      <c r="B15" s="7" t="s">
        <v>121</v>
      </c>
      <c r="C15" s="7" t="s">
        <v>126</v>
      </c>
      <c r="D15" s="3"/>
      <c r="E15" s="3">
        <v>30</v>
      </c>
      <c r="F15" s="8"/>
    </row>
    <row r="16" spans="1:6" ht="15" customHeight="1" thickBot="1">
      <c r="A16" s="4" t="s">
        <v>23</v>
      </c>
      <c r="B16" s="10"/>
      <c r="C16" s="10"/>
      <c r="D16" s="5">
        <f>SUM(D2:D15)</f>
        <v>1882.9</v>
      </c>
      <c r="E16" s="5">
        <f>SUM(E2:E15)</f>
        <v>221.44</v>
      </c>
      <c r="F16" s="6">
        <f>D16-E16</f>
        <v>1661.46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16"/>
  <dimension ref="A1:F18"/>
  <sheetViews>
    <sheetView workbookViewId="0">
      <selection activeCell="A11" sqref="A11:XFD11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41978</v>
      </c>
      <c r="B2" s="7" t="s">
        <v>6</v>
      </c>
      <c r="C2" s="7" t="s">
        <v>33</v>
      </c>
      <c r="D2" s="3">
        <f>71.43+4.29</f>
        <v>75.720000000000013</v>
      </c>
      <c r="E2" s="3"/>
      <c r="F2" s="8"/>
    </row>
    <row r="3" spans="1:6" ht="15" customHeight="1">
      <c r="A3" s="2">
        <v>41978</v>
      </c>
      <c r="B3" s="7" t="s">
        <v>65</v>
      </c>
      <c r="C3" s="13" t="s">
        <v>70</v>
      </c>
      <c r="D3" s="3">
        <f>469.43+28.09</f>
        <v>497.52</v>
      </c>
      <c r="E3" s="3"/>
      <c r="F3" s="8"/>
    </row>
    <row r="4" spans="1:6" ht="15" customHeight="1">
      <c r="A4" s="2">
        <v>41978</v>
      </c>
      <c r="B4" s="7" t="s">
        <v>65</v>
      </c>
      <c r="C4" s="13" t="s">
        <v>71</v>
      </c>
      <c r="D4" s="3">
        <f>685.44+41.04</f>
        <v>726.48</v>
      </c>
      <c r="E4" s="3"/>
      <c r="F4" s="8"/>
    </row>
    <row r="5" spans="1:6" ht="15" customHeight="1">
      <c r="A5" s="2">
        <v>41978</v>
      </c>
      <c r="B5" s="7" t="s">
        <v>65</v>
      </c>
      <c r="C5" s="13" t="s">
        <v>72</v>
      </c>
      <c r="D5" s="3">
        <f>582.12+34.84</f>
        <v>616.96</v>
      </c>
      <c r="E5" s="3"/>
      <c r="F5" s="8"/>
    </row>
    <row r="6" spans="1:6" ht="15" customHeight="1">
      <c r="A6" s="2">
        <v>41978</v>
      </c>
      <c r="B6" s="7" t="s">
        <v>8</v>
      </c>
      <c r="C6" s="7">
        <v>133</v>
      </c>
      <c r="D6" s="3">
        <f>(3.68+0.22)*C6</f>
        <v>518.70000000000005</v>
      </c>
      <c r="E6" s="3"/>
      <c r="F6" s="8"/>
    </row>
    <row r="7" spans="1:6" ht="15" customHeight="1">
      <c r="A7" s="2">
        <v>41978</v>
      </c>
      <c r="B7" s="7" t="s">
        <v>9</v>
      </c>
      <c r="C7" s="7">
        <v>74</v>
      </c>
      <c r="D7" s="3">
        <f t="shared" ref="D7:D8" si="0">(3.68+0.22)*C7</f>
        <v>288.60000000000002</v>
      </c>
      <c r="E7" s="3"/>
      <c r="F7" s="8"/>
    </row>
    <row r="8" spans="1:6" ht="15" customHeight="1">
      <c r="A8" s="2">
        <v>41978</v>
      </c>
      <c r="B8" s="7" t="s">
        <v>10</v>
      </c>
      <c r="C8" s="7">
        <v>10</v>
      </c>
      <c r="D8" s="3">
        <f t="shared" si="0"/>
        <v>39</v>
      </c>
      <c r="E8" s="3"/>
      <c r="F8" s="8"/>
    </row>
    <row r="9" spans="1:6" ht="15" customHeight="1">
      <c r="A9" s="2">
        <v>41978</v>
      </c>
      <c r="B9" s="7" t="s">
        <v>11</v>
      </c>
      <c r="C9" s="7"/>
      <c r="D9" s="3"/>
      <c r="E9" s="3">
        <v>4.29</v>
      </c>
      <c r="F9" s="8"/>
    </row>
    <row r="10" spans="1:6" ht="15" customHeight="1">
      <c r="A10" s="2">
        <v>41978</v>
      </c>
      <c r="B10" s="7" t="s">
        <v>91</v>
      </c>
      <c r="C10" s="7"/>
      <c r="D10" s="3"/>
      <c r="E10" s="3">
        <f>28.09+41.04+34.84</f>
        <v>103.97</v>
      </c>
      <c r="F10" s="8"/>
    </row>
    <row r="11" spans="1:6" ht="15" customHeight="1">
      <c r="A11" s="2">
        <v>41978</v>
      </c>
      <c r="B11" s="7" t="s">
        <v>13</v>
      </c>
      <c r="C11" s="7">
        <f>C6</f>
        <v>133</v>
      </c>
      <c r="D11" s="3"/>
      <c r="E11" s="3">
        <f>0.22*C11</f>
        <v>29.26</v>
      </c>
      <c r="F11" s="8"/>
    </row>
    <row r="12" spans="1:6" ht="15" customHeight="1">
      <c r="A12" s="2">
        <v>41978</v>
      </c>
      <c r="B12" s="7" t="s">
        <v>14</v>
      </c>
      <c r="C12" s="7">
        <f>C7</f>
        <v>74</v>
      </c>
      <c r="D12" s="3"/>
      <c r="E12" s="3">
        <f t="shared" ref="E12:E13" si="1">0.22*C12</f>
        <v>16.28</v>
      </c>
      <c r="F12" s="8"/>
    </row>
    <row r="13" spans="1:6" ht="15" customHeight="1">
      <c r="A13" s="2">
        <v>41978</v>
      </c>
      <c r="B13" s="7" t="s">
        <v>15</v>
      </c>
      <c r="C13" s="7">
        <f>C8</f>
        <v>10</v>
      </c>
      <c r="D13" s="3"/>
      <c r="E13" s="3">
        <f t="shared" si="1"/>
        <v>2.2000000000000002</v>
      </c>
      <c r="F13" s="8"/>
    </row>
    <row r="14" spans="1:6" ht="15" customHeight="1">
      <c r="A14" s="2">
        <v>41978</v>
      </c>
      <c r="B14" s="7" t="s">
        <v>18</v>
      </c>
      <c r="C14" s="7"/>
      <c r="D14" s="3"/>
      <c r="E14" s="3">
        <v>82.73</v>
      </c>
      <c r="F14" s="8"/>
    </row>
    <row r="15" spans="1:6" ht="15" customHeight="1">
      <c r="A15" s="2">
        <v>41978</v>
      </c>
      <c r="B15" s="7" t="s">
        <v>121</v>
      </c>
      <c r="C15" s="7" t="s">
        <v>122</v>
      </c>
      <c r="D15" s="3"/>
      <c r="E15" s="3">
        <v>115</v>
      </c>
      <c r="F15" s="8"/>
    </row>
    <row r="16" spans="1:6" ht="15" customHeight="1">
      <c r="A16" s="2">
        <v>41978</v>
      </c>
      <c r="B16" s="7" t="s">
        <v>121</v>
      </c>
      <c r="C16" s="7" t="s">
        <v>123</v>
      </c>
      <c r="D16" s="3"/>
      <c r="E16" s="3">
        <v>196.8</v>
      </c>
      <c r="F16" s="8"/>
    </row>
    <row r="17" spans="1:6" ht="15" customHeight="1">
      <c r="A17" s="2">
        <v>41978</v>
      </c>
      <c r="B17" s="7" t="s">
        <v>22</v>
      </c>
      <c r="C17" s="7"/>
      <c r="D17" s="3"/>
      <c r="E17" s="3">
        <v>511.62</v>
      </c>
      <c r="F17" s="8"/>
    </row>
    <row r="18" spans="1:6" ht="15" customHeight="1" thickBot="1">
      <c r="A18" s="4" t="s">
        <v>23</v>
      </c>
      <c r="B18" s="10"/>
      <c r="C18" s="10"/>
      <c r="D18" s="5">
        <f>SUM(D2:D17)</f>
        <v>2762.98</v>
      </c>
      <c r="E18" s="5">
        <f>SUM(E2:E17)</f>
        <v>1062.1500000000001</v>
      </c>
      <c r="F18" s="6">
        <f>D18-E18</f>
        <v>1700.83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0"/>
  <dimension ref="A1:F17"/>
  <sheetViews>
    <sheetView workbookViewId="0">
      <selection activeCell="C14" sqref="C14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41982</v>
      </c>
      <c r="B2" s="7" t="s">
        <v>6</v>
      </c>
      <c r="C2" s="7" t="s">
        <v>34</v>
      </c>
      <c r="D2" s="3">
        <f>11.98+0.72</f>
        <v>12.700000000000001</v>
      </c>
      <c r="E2" s="3"/>
      <c r="F2" s="8"/>
    </row>
    <row r="3" spans="1:6" ht="15" customHeight="1">
      <c r="A3" s="2">
        <v>41982</v>
      </c>
      <c r="B3" s="7" t="s">
        <v>6</v>
      </c>
      <c r="C3" s="7" t="s">
        <v>35</v>
      </c>
      <c r="D3" s="3">
        <f>19.43+1.16</f>
        <v>20.59</v>
      </c>
      <c r="E3" s="3"/>
      <c r="F3" s="8"/>
    </row>
    <row r="4" spans="1:6" ht="15" customHeight="1">
      <c r="A4" s="2">
        <v>41982</v>
      </c>
      <c r="B4" s="7" t="s">
        <v>6</v>
      </c>
      <c r="C4" s="7" t="s">
        <v>36</v>
      </c>
      <c r="D4" s="3">
        <f>71.43+4.29</f>
        <v>75.720000000000013</v>
      </c>
      <c r="E4" s="3"/>
      <c r="F4" s="8"/>
    </row>
    <row r="5" spans="1:6" ht="15" customHeight="1">
      <c r="A5" s="2">
        <v>41982</v>
      </c>
      <c r="B5" s="7" t="s">
        <v>6</v>
      </c>
      <c r="C5" s="7" t="s">
        <v>37</v>
      </c>
      <c r="D5" s="3">
        <f>11.98+0.72</f>
        <v>12.700000000000001</v>
      </c>
      <c r="E5" s="3"/>
      <c r="F5" s="8"/>
    </row>
    <row r="6" spans="1:6" ht="15" customHeight="1">
      <c r="A6" s="2">
        <v>41982</v>
      </c>
      <c r="B6" s="7" t="s">
        <v>65</v>
      </c>
      <c r="C6" s="13" t="s">
        <v>73</v>
      </c>
      <c r="D6" s="3">
        <f>5831.77+348.99</f>
        <v>6180.76</v>
      </c>
      <c r="E6" s="3"/>
      <c r="F6" s="8"/>
    </row>
    <row r="7" spans="1:6" ht="15" customHeight="1">
      <c r="A7" s="2">
        <v>41982</v>
      </c>
      <c r="B7" s="7" t="s">
        <v>7</v>
      </c>
      <c r="C7" s="7">
        <v>1</v>
      </c>
      <c r="D7" s="3">
        <f>13.05+0.78</f>
        <v>13.83</v>
      </c>
      <c r="E7" s="3"/>
      <c r="F7" s="8"/>
    </row>
    <row r="8" spans="1:6" ht="15" customHeight="1">
      <c r="A8" s="2">
        <v>41982</v>
      </c>
      <c r="B8" s="7" t="s">
        <v>8</v>
      </c>
      <c r="C8" s="7">
        <v>155</v>
      </c>
      <c r="D8" s="3">
        <f>(3.68+0.22)*C8</f>
        <v>604.5</v>
      </c>
      <c r="E8" s="3"/>
      <c r="F8" s="8"/>
    </row>
    <row r="9" spans="1:6" ht="15" customHeight="1">
      <c r="A9" s="2">
        <v>41982</v>
      </c>
      <c r="B9" s="7" t="s">
        <v>9</v>
      </c>
      <c r="C9" s="7">
        <v>136</v>
      </c>
      <c r="D9" s="3">
        <f t="shared" ref="D9:D10" si="0">(3.68+0.22)*C9</f>
        <v>530.40000000000009</v>
      </c>
      <c r="E9" s="3"/>
      <c r="F9" s="8"/>
    </row>
    <row r="10" spans="1:6" ht="15" customHeight="1">
      <c r="A10" s="2">
        <v>41982</v>
      </c>
      <c r="B10" s="7" t="s">
        <v>10</v>
      </c>
      <c r="C10" s="7">
        <v>15</v>
      </c>
      <c r="D10" s="3">
        <f t="shared" si="0"/>
        <v>58.500000000000007</v>
      </c>
      <c r="E10" s="3"/>
      <c r="F10" s="8"/>
    </row>
    <row r="11" spans="1:6" ht="15" customHeight="1">
      <c r="A11" s="2">
        <v>41982</v>
      </c>
      <c r="B11" s="7" t="s">
        <v>11</v>
      </c>
      <c r="C11" s="7"/>
      <c r="D11" s="3"/>
      <c r="E11" s="3">
        <f>0.72*2+1.16+4.29</f>
        <v>6.89</v>
      </c>
      <c r="F11" s="8"/>
    </row>
    <row r="12" spans="1:6" ht="15" customHeight="1">
      <c r="A12" s="2">
        <v>41982</v>
      </c>
      <c r="B12" s="7" t="s">
        <v>91</v>
      </c>
      <c r="C12" s="7"/>
      <c r="D12" s="3"/>
      <c r="E12" s="3">
        <v>348.99</v>
      </c>
      <c r="F12" s="8"/>
    </row>
    <row r="13" spans="1:6" ht="15" customHeight="1">
      <c r="A13" s="2">
        <v>41982</v>
      </c>
      <c r="B13" s="7" t="s">
        <v>12</v>
      </c>
      <c r="C13" s="7">
        <v>1</v>
      </c>
      <c r="D13" s="3"/>
      <c r="E13" s="3">
        <v>0.78</v>
      </c>
      <c r="F13" s="8"/>
    </row>
    <row r="14" spans="1:6" ht="15" customHeight="1">
      <c r="A14" s="2">
        <v>41982</v>
      </c>
      <c r="B14" s="7" t="s">
        <v>13</v>
      </c>
      <c r="C14" s="7">
        <f>C8</f>
        <v>155</v>
      </c>
      <c r="D14" s="3"/>
      <c r="E14" s="3">
        <f>0.22*C14</f>
        <v>34.1</v>
      </c>
      <c r="F14" s="8"/>
    </row>
    <row r="15" spans="1:6" ht="15" customHeight="1">
      <c r="A15" s="2">
        <v>41982</v>
      </c>
      <c r="B15" s="7" t="s">
        <v>14</v>
      </c>
      <c r="C15" s="7">
        <f>C9</f>
        <v>136</v>
      </c>
      <c r="D15" s="3"/>
      <c r="E15" s="3">
        <f t="shared" ref="E15:E16" si="1">0.22*C15</f>
        <v>29.92</v>
      </c>
      <c r="F15" s="8"/>
    </row>
    <row r="16" spans="1:6" ht="15" customHeight="1">
      <c r="A16" s="2">
        <v>41982</v>
      </c>
      <c r="B16" s="7" t="s">
        <v>15</v>
      </c>
      <c r="C16" s="7">
        <f>C10</f>
        <v>15</v>
      </c>
      <c r="D16" s="3"/>
      <c r="E16" s="3">
        <f t="shared" si="1"/>
        <v>3.3</v>
      </c>
      <c r="F16" s="8"/>
    </row>
    <row r="17" spans="1:6" ht="15" customHeight="1" thickBot="1">
      <c r="A17" s="4" t="s">
        <v>23</v>
      </c>
      <c r="B17" s="10"/>
      <c r="C17" s="10"/>
      <c r="D17" s="5">
        <f>SUM(D2:D16)</f>
        <v>7509.7000000000007</v>
      </c>
      <c r="E17" s="5">
        <f>SUM(E2:E16)</f>
        <v>423.98</v>
      </c>
      <c r="F17" s="6">
        <f>D17-E17</f>
        <v>7085.7200000000012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F13"/>
  <sheetViews>
    <sheetView workbookViewId="0">
      <selection activeCell="C9" sqref="C9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41983</v>
      </c>
      <c r="B2" s="7" t="s">
        <v>6</v>
      </c>
      <c r="C2" s="7" t="s">
        <v>38</v>
      </c>
      <c r="D2" s="3">
        <f>11.98+0.72</f>
        <v>12.700000000000001</v>
      </c>
      <c r="E2" s="3"/>
      <c r="F2" s="8"/>
    </row>
    <row r="3" spans="1:6" ht="15" customHeight="1">
      <c r="A3" s="2">
        <v>41983</v>
      </c>
      <c r="B3" s="7" t="s">
        <v>65</v>
      </c>
      <c r="C3" s="13" t="s">
        <v>74</v>
      </c>
      <c r="D3" s="3">
        <f>369.06+22.08</f>
        <v>391.14</v>
      </c>
      <c r="E3" s="3"/>
      <c r="F3" s="8"/>
    </row>
    <row r="4" spans="1:6" ht="15" customHeight="1">
      <c r="A4" s="2">
        <v>41983</v>
      </c>
      <c r="B4" s="7" t="s">
        <v>65</v>
      </c>
      <c r="C4" s="13" t="s">
        <v>75</v>
      </c>
      <c r="D4" s="3">
        <f>351.46+21.04</f>
        <v>372.5</v>
      </c>
      <c r="E4" s="3"/>
      <c r="F4" s="8"/>
    </row>
    <row r="5" spans="1:6" ht="15" customHeight="1">
      <c r="A5" s="2">
        <v>41983</v>
      </c>
      <c r="B5" s="7" t="s">
        <v>8</v>
      </c>
      <c r="C5" s="7">
        <v>139</v>
      </c>
      <c r="D5" s="3">
        <f>(3.68+0.22)*C5</f>
        <v>542.1</v>
      </c>
      <c r="E5" s="3"/>
      <c r="F5" s="8"/>
    </row>
    <row r="6" spans="1:6" ht="15" customHeight="1">
      <c r="A6" s="2">
        <v>41983</v>
      </c>
      <c r="B6" s="7" t="s">
        <v>9</v>
      </c>
      <c r="C6" s="7">
        <v>148</v>
      </c>
      <c r="D6" s="3">
        <f t="shared" ref="D6:D7" si="0">(3.68+0.22)*C6</f>
        <v>577.20000000000005</v>
      </c>
      <c r="E6" s="3"/>
      <c r="F6" s="8"/>
    </row>
    <row r="7" spans="1:6" ht="15" customHeight="1">
      <c r="A7" s="2">
        <v>41983</v>
      </c>
      <c r="B7" s="7" t="s">
        <v>10</v>
      </c>
      <c r="C7" s="7">
        <v>8</v>
      </c>
      <c r="D7" s="3">
        <f t="shared" si="0"/>
        <v>31.200000000000003</v>
      </c>
      <c r="E7" s="3"/>
      <c r="F7" s="8"/>
    </row>
    <row r="8" spans="1:6" ht="15" customHeight="1">
      <c r="A8" s="2">
        <v>41983</v>
      </c>
      <c r="B8" s="7" t="s">
        <v>11</v>
      </c>
      <c r="C8" s="7"/>
      <c r="D8" s="3"/>
      <c r="E8" s="3">
        <v>0.72</v>
      </c>
      <c r="F8" s="8"/>
    </row>
    <row r="9" spans="1:6" ht="15" customHeight="1">
      <c r="A9" s="2">
        <v>41983</v>
      </c>
      <c r="B9" s="7" t="s">
        <v>91</v>
      </c>
      <c r="C9" s="7"/>
      <c r="D9" s="3"/>
      <c r="E9" s="3">
        <f>22.08+21.04</f>
        <v>43.12</v>
      </c>
      <c r="F9" s="8"/>
    </row>
    <row r="10" spans="1:6" ht="15" customHeight="1">
      <c r="A10" s="2">
        <v>41983</v>
      </c>
      <c r="B10" s="7" t="s">
        <v>13</v>
      </c>
      <c r="C10" s="7">
        <f>C5</f>
        <v>139</v>
      </c>
      <c r="D10" s="3"/>
      <c r="E10" s="3">
        <f>0.22*C10</f>
        <v>30.580000000000002</v>
      </c>
      <c r="F10" s="8"/>
    </row>
    <row r="11" spans="1:6" ht="15" customHeight="1">
      <c r="A11" s="2">
        <v>41983</v>
      </c>
      <c r="B11" s="7" t="s">
        <v>14</v>
      </c>
      <c r="C11" s="7">
        <f>C6</f>
        <v>148</v>
      </c>
      <c r="D11" s="3"/>
      <c r="E11" s="3">
        <f t="shared" ref="E11:E12" si="1">0.22*C11</f>
        <v>32.56</v>
      </c>
      <c r="F11" s="8"/>
    </row>
    <row r="12" spans="1:6" ht="15" customHeight="1">
      <c r="A12" s="2">
        <v>41983</v>
      </c>
      <c r="B12" s="7" t="s">
        <v>15</v>
      </c>
      <c r="C12" s="7">
        <f>C7</f>
        <v>8</v>
      </c>
      <c r="D12" s="3"/>
      <c r="E12" s="3">
        <f t="shared" si="1"/>
        <v>1.76</v>
      </c>
      <c r="F12" s="8"/>
    </row>
    <row r="13" spans="1:6" ht="15" customHeight="1" thickBot="1">
      <c r="A13" s="4" t="s">
        <v>23</v>
      </c>
      <c r="B13" s="10"/>
      <c r="C13" s="10"/>
      <c r="D13" s="5">
        <f>SUM(D2:D12)</f>
        <v>1926.8400000000001</v>
      </c>
      <c r="E13" s="5">
        <f>SUM(E2:E12)</f>
        <v>108.74000000000001</v>
      </c>
      <c r="F13" s="6">
        <f>D13-E13</f>
        <v>1818.1000000000001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9"/>
  <dimension ref="A1:F13"/>
  <sheetViews>
    <sheetView workbookViewId="0">
      <selection activeCell="E13" sqref="E13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41984</v>
      </c>
      <c r="B2" s="7" t="s">
        <v>6</v>
      </c>
      <c r="C2" s="7" t="s">
        <v>39</v>
      </c>
      <c r="D2" s="3">
        <f>71.43+4.29</f>
        <v>75.720000000000013</v>
      </c>
      <c r="E2" s="3"/>
      <c r="F2" s="8"/>
    </row>
    <row r="3" spans="1:6" ht="15" customHeight="1">
      <c r="A3" s="2">
        <v>41984</v>
      </c>
      <c r="B3" s="7" t="s">
        <v>6</v>
      </c>
      <c r="C3" s="7" t="s">
        <v>40</v>
      </c>
      <c r="D3" s="3">
        <f>71.43+4.29</f>
        <v>75.720000000000013</v>
      </c>
      <c r="E3" s="3"/>
      <c r="F3" s="8"/>
    </row>
    <row r="4" spans="1:6" ht="15" customHeight="1">
      <c r="A4" s="2">
        <v>41984</v>
      </c>
      <c r="B4" s="7" t="s">
        <v>7</v>
      </c>
      <c r="C4" s="7">
        <v>2</v>
      </c>
      <c r="D4" s="3">
        <f>(13.05+0.78)*C4</f>
        <v>27.66</v>
      </c>
      <c r="E4" s="3"/>
      <c r="F4" s="8"/>
    </row>
    <row r="5" spans="1:6" ht="15" customHeight="1">
      <c r="A5" s="2">
        <v>41984</v>
      </c>
      <c r="B5" s="7" t="s">
        <v>8</v>
      </c>
      <c r="C5" s="7">
        <v>246</v>
      </c>
      <c r="D5" s="3">
        <f>(3.68+0.22)*C5</f>
        <v>959.40000000000009</v>
      </c>
      <c r="E5" s="3"/>
      <c r="F5" s="8"/>
    </row>
    <row r="6" spans="1:6" ht="15" customHeight="1">
      <c r="A6" s="2">
        <v>41984</v>
      </c>
      <c r="B6" s="7" t="s">
        <v>9</v>
      </c>
      <c r="C6" s="7">
        <v>63</v>
      </c>
      <c r="D6" s="3">
        <f t="shared" ref="D6:D7" si="0">(3.68+0.22)*C6</f>
        <v>245.70000000000002</v>
      </c>
      <c r="E6" s="3"/>
      <c r="F6" s="8"/>
    </row>
    <row r="7" spans="1:6" ht="15" customHeight="1">
      <c r="A7" s="2">
        <v>41984</v>
      </c>
      <c r="B7" s="7" t="s">
        <v>10</v>
      </c>
      <c r="C7" s="7">
        <v>12</v>
      </c>
      <c r="D7" s="3">
        <f t="shared" si="0"/>
        <v>46.800000000000004</v>
      </c>
      <c r="E7" s="3"/>
      <c r="F7" s="8"/>
    </row>
    <row r="8" spans="1:6" ht="15" customHeight="1">
      <c r="A8" s="2">
        <v>41984</v>
      </c>
      <c r="B8" s="7" t="s">
        <v>11</v>
      </c>
      <c r="C8" s="7"/>
      <c r="D8" s="3"/>
      <c r="E8" s="3">
        <f>4.29*2</f>
        <v>8.58</v>
      </c>
      <c r="F8" s="8"/>
    </row>
    <row r="9" spans="1:6" ht="15" customHeight="1">
      <c r="A9" s="2">
        <v>41984</v>
      </c>
      <c r="B9" s="7" t="s">
        <v>12</v>
      </c>
      <c r="C9" s="7">
        <v>2</v>
      </c>
      <c r="D9" s="3"/>
      <c r="E9" s="3">
        <f>0.78*2</f>
        <v>1.56</v>
      </c>
      <c r="F9" s="8"/>
    </row>
    <row r="10" spans="1:6" ht="15" customHeight="1">
      <c r="A10" s="2">
        <v>41984</v>
      </c>
      <c r="B10" s="7" t="s">
        <v>13</v>
      </c>
      <c r="C10" s="7">
        <f>C5</f>
        <v>246</v>
      </c>
      <c r="D10" s="3"/>
      <c r="E10" s="3">
        <f>0.22*C10</f>
        <v>54.12</v>
      </c>
      <c r="F10" s="8"/>
    </row>
    <row r="11" spans="1:6" ht="15" customHeight="1">
      <c r="A11" s="2">
        <v>41984</v>
      </c>
      <c r="B11" s="7" t="s">
        <v>14</v>
      </c>
      <c r="C11" s="7">
        <f>C6</f>
        <v>63</v>
      </c>
      <c r="D11" s="3"/>
      <c r="E11" s="3">
        <f t="shared" ref="E11:E12" si="1">0.22*C11</f>
        <v>13.86</v>
      </c>
      <c r="F11" s="8"/>
    </row>
    <row r="12" spans="1:6" ht="15" customHeight="1">
      <c r="A12" s="2">
        <v>41984</v>
      </c>
      <c r="B12" s="7" t="s">
        <v>15</v>
      </c>
      <c r="C12" s="7">
        <f>C7</f>
        <v>12</v>
      </c>
      <c r="D12" s="3"/>
      <c r="E12" s="3">
        <f t="shared" si="1"/>
        <v>2.64</v>
      </c>
      <c r="F12" s="8"/>
    </row>
    <row r="13" spans="1:6" ht="15" customHeight="1" thickBot="1">
      <c r="A13" s="4" t="s">
        <v>23</v>
      </c>
      <c r="B13" s="10"/>
      <c r="C13" s="10"/>
      <c r="D13" s="5">
        <f>SUM(D2:D12)</f>
        <v>1431</v>
      </c>
      <c r="E13" s="5">
        <f>SUM(E2:E12)</f>
        <v>80.759999999999991</v>
      </c>
      <c r="F13" s="6">
        <f>D13-E13</f>
        <v>1350.24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21"/>
  <dimension ref="A1:F10"/>
  <sheetViews>
    <sheetView workbookViewId="0">
      <selection activeCell="A7" sqref="A7:XFD7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41985</v>
      </c>
      <c r="B2" s="7" t="s">
        <v>6</v>
      </c>
      <c r="C2" s="7" t="s">
        <v>47</v>
      </c>
      <c r="D2" s="3">
        <f>1443.19+86.47</f>
        <v>1529.66</v>
      </c>
      <c r="E2" s="3"/>
      <c r="F2" s="8"/>
    </row>
    <row r="3" spans="1:6" ht="15" customHeight="1">
      <c r="A3" s="2">
        <v>41985</v>
      </c>
      <c r="B3" s="7" t="s">
        <v>8</v>
      </c>
      <c r="C3" s="7">
        <v>138</v>
      </c>
      <c r="D3" s="3">
        <f>(3.68+0.22)*C3</f>
        <v>538.20000000000005</v>
      </c>
      <c r="E3" s="3"/>
      <c r="F3" s="8"/>
    </row>
    <row r="4" spans="1:6" ht="15" customHeight="1">
      <c r="A4" s="2">
        <v>41985</v>
      </c>
      <c r="B4" s="7" t="s">
        <v>9</v>
      </c>
      <c r="C4" s="7">
        <v>69</v>
      </c>
      <c r="D4" s="3">
        <f t="shared" ref="D4:D5" si="0">(3.68+0.22)*C4</f>
        <v>269.10000000000002</v>
      </c>
      <c r="E4" s="3"/>
      <c r="F4" s="8"/>
    </row>
    <row r="5" spans="1:6" ht="15" customHeight="1">
      <c r="A5" s="2">
        <v>41985</v>
      </c>
      <c r="B5" s="7" t="s">
        <v>10</v>
      </c>
      <c r="C5" s="7">
        <v>10</v>
      </c>
      <c r="D5" s="3">
        <f t="shared" si="0"/>
        <v>39</v>
      </c>
      <c r="E5" s="3"/>
      <c r="F5" s="8"/>
    </row>
    <row r="6" spans="1:6" ht="15" customHeight="1">
      <c r="A6" s="2">
        <v>41985</v>
      </c>
      <c r="B6" s="7" t="s">
        <v>11</v>
      </c>
      <c r="C6" s="7"/>
      <c r="D6" s="3"/>
      <c r="E6" s="3">
        <v>86.47</v>
      </c>
      <c r="F6" s="8"/>
    </row>
    <row r="7" spans="1:6" ht="15" customHeight="1">
      <c r="A7" s="2">
        <v>41985</v>
      </c>
      <c r="B7" s="7" t="s">
        <v>13</v>
      </c>
      <c r="C7" s="7">
        <f>C3</f>
        <v>138</v>
      </c>
      <c r="D7" s="3"/>
      <c r="E7" s="3">
        <f>0.22*C7</f>
        <v>30.36</v>
      </c>
      <c r="F7" s="8"/>
    </row>
    <row r="8" spans="1:6" ht="15" customHeight="1">
      <c r="A8" s="2">
        <v>41985</v>
      </c>
      <c r="B8" s="7" t="s">
        <v>14</v>
      </c>
      <c r="C8" s="7">
        <f>C4</f>
        <v>69</v>
      </c>
      <c r="D8" s="3"/>
      <c r="E8" s="3">
        <f t="shared" ref="E8:E9" si="1">0.22*C8</f>
        <v>15.18</v>
      </c>
      <c r="F8" s="8"/>
    </row>
    <row r="9" spans="1:6" ht="15" customHeight="1">
      <c r="A9" s="2">
        <v>41985</v>
      </c>
      <c r="B9" s="7" t="s">
        <v>15</v>
      </c>
      <c r="C9" s="7">
        <f>C5</f>
        <v>10</v>
      </c>
      <c r="D9" s="3"/>
      <c r="E9" s="3">
        <f t="shared" si="1"/>
        <v>2.2000000000000002</v>
      </c>
      <c r="F9" s="8"/>
    </row>
    <row r="10" spans="1:6" ht="15" customHeight="1" thickBot="1">
      <c r="A10" s="4" t="s">
        <v>23</v>
      </c>
      <c r="B10" s="10"/>
      <c r="C10" s="10"/>
      <c r="D10" s="5">
        <f>SUM(D2:D9)</f>
        <v>2375.96</v>
      </c>
      <c r="E10" s="5">
        <f>SUM(E2:E9)</f>
        <v>134.20999999999998</v>
      </c>
      <c r="F10" s="6">
        <f>D10-E10</f>
        <v>2241.75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Plan24"/>
  <dimension ref="A1:F12"/>
  <sheetViews>
    <sheetView workbookViewId="0">
      <selection activeCell="A7" sqref="A7:XFD7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41988</v>
      </c>
      <c r="B2" s="7" t="s">
        <v>65</v>
      </c>
      <c r="C2" s="13" t="s">
        <v>76</v>
      </c>
      <c r="D2" s="3">
        <f>1495.61+89.67</f>
        <v>1585.28</v>
      </c>
      <c r="E2" s="3"/>
      <c r="F2" s="8"/>
    </row>
    <row r="3" spans="1:6" ht="15" customHeight="1">
      <c r="A3" s="2">
        <v>41988</v>
      </c>
      <c r="B3" s="7" t="s">
        <v>8</v>
      </c>
      <c r="C3" s="7">
        <v>145</v>
      </c>
      <c r="D3" s="3">
        <f>(3.68+0.22)*C3</f>
        <v>565.5</v>
      </c>
      <c r="E3" s="3"/>
      <c r="F3" s="8"/>
    </row>
    <row r="4" spans="1:6" ht="15" customHeight="1">
      <c r="A4" s="2">
        <v>41988</v>
      </c>
      <c r="B4" s="7" t="s">
        <v>9</v>
      </c>
      <c r="C4" s="7">
        <v>82</v>
      </c>
      <c r="D4" s="3">
        <f t="shared" ref="D4:D5" si="0">(3.68+0.22)*C4</f>
        <v>319.8</v>
      </c>
      <c r="E4" s="3"/>
      <c r="F4" s="8"/>
    </row>
    <row r="5" spans="1:6" ht="15" customHeight="1">
      <c r="A5" s="2">
        <v>41988</v>
      </c>
      <c r="B5" s="7" t="s">
        <v>10</v>
      </c>
      <c r="C5" s="7">
        <v>13</v>
      </c>
      <c r="D5" s="3">
        <f t="shared" si="0"/>
        <v>50.7</v>
      </c>
      <c r="E5" s="3"/>
      <c r="F5" s="8"/>
    </row>
    <row r="6" spans="1:6" ht="15" customHeight="1">
      <c r="A6" s="2">
        <v>41988</v>
      </c>
      <c r="B6" s="7" t="s">
        <v>11</v>
      </c>
      <c r="C6" s="7"/>
      <c r="D6" s="3"/>
      <c r="E6" s="3">
        <v>89.67</v>
      </c>
      <c r="F6" s="8"/>
    </row>
    <row r="7" spans="1:6" ht="15" customHeight="1">
      <c r="A7" s="2">
        <v>41988</v>
      </c>
      <c r="B7" s="7" t="s">
        <v>13</v>
      </c>
      <c r="C7" s="7">
        <f>C3</f>
        <v>145</v>
      </c>
      <c r="D7" s="3"/>
      <c r="E7" s="3">
        <f>0.22*C7</f>
        <v>31.9</v>
      </c>
      <c r="F7" s="8"/>
    </row>
    <row r="8" spans="1:6" ht="15" customHeight="1">
      <c r="A8" s="2">
        <v>41988</v>
      </c>
      <c r="B8" s="7" t="s">
        <v>14</v>
      </c>
      <c r="C8" s="7">
        <f>C4</f>
        <v>82</v>
      </c>
      <c r="D8" s="3"/>
      <c r="E8" s="3">
        <f t="shared" ref="E8:E9" si="1">0.22*C8</f>
        <v>18.04</v>
      </c>
      <c r="F8" s="8"/>
    </row>
    <row r="9" spans="1:6" ht="15" customHeight="1">
      <c r="A9" s="2">
        <v>41988</v>
      </c>
      <c r="B9" s="7" t="s">
        <v>15</v>
      </c>
      <c r="C9" s="7">
        <f>C5</f>
        <v>13</v>
      </c>
      <c r="D9" s="3"/>
      <c r="E9" s="3">
        <f t="shared" si="1"/>
        <v>2.86</v>
      </c>
      <c r="F9" s="8"/>
    </row>
    <row r="10" spans="1:6" ht="15" customHeight="1">
      <c r="A10" s="2">
        <v>41988</v>
      </c>
      <c r="B10" s="7" t="s">
        <v>92</v>
      </c>
      <c r="C10" s="7" t="s">
        <v>93</v>
      </c>
      <c r="D10" s="3"/>
      <c r="E10" s="3">
        <v>99.9</v>
      </c>
      <c r="F10" s="8"/>
    </row>
    <row r="11" spans="1:6" ht="15" customHeight="1">
      <c r="A11" s="2">
        <v>41988</v>
      </c>
      <c r="B11" s="7" t="s">
        <v>95</v>
      </c>
      <c r="C11" s="7"/>
      <c r="D11" s="3"/>
      <c r="E11" s="3">
        <v>604.30999999999995</v>
      </c>
      <c r="F11" s="8"/>
    </row>
    <row r="12" spans="1:6" ht="15" customHeight="1" thickBot="1">
      <c r="A12" s="4" t="s">
        <v>23</v>
      </c>
      <c r="B12" s="10"/>
      <c r="C12" s="10"/>
      <c r="D12" s="5">
        <f>SUM(D2:D11)</f>
        <v>2521.2799999999997</v>
      </c>
      <c r="E12" s="5">
        <f>SUM(E2:E11)</f>
        <v>846.68</v>
      </c>
      <c r="F12" s="6">
        <f>D12-E12</f>
        <v>1674.6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Plan25"/>
  <dimension ref="A1:F19"/>
  <sheetViews>
    <sheetView workbookViewId="0">
      <selection activeCell="A13" sqref="A13:XFD13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41989</v>
      </c>
      <c r="B2" s="7" t="s">
        <v>6</v>
      </c>
      <c r="C2" s="7" t="s">
        <v>41</v>
      </c>
      <c r="D2" s="3">
        <f>71.43+4.29</f>
        <v>75.720000000000013</v>
      </c>
      <c r="E2" s="3"/>
      <c r="F2" s="8"/>
    </row>
    <row r="3" spans="1:6" ht="15" customHeight="1">
      <c r="A3" s="2">
        <v>41989</v>
      </c>
      <c r="B3" s="7" t="s">
        <v>6</v>
      </c>
      <c r="C3" s="7" t="s">
        <v>42</v>
      </c>
      <c r="D3" s="3">
        <f>71.43+4.29</f>
        <v>75.720000000000013</v>
      </c>
      <c r="E3" s="3"/>
      <c r="F3" s="8"/>
    </row>
    <row r="4" spans="1:6" ht="15" customHeight="1">
      <c r="A4" s="2">
        <v>41989</v>
      </c>
      <c r="B4" s="7" t="s">
        <v>6</v>
      </c>
      <c r="C4" s="7" t="s">
        <v>43</v>
      </c>
      <c r="D4" s="3">
        <f>71.43+4.29</f>
        <v>75.720000000000013</v>
      </c>
      <c r="E4" s="3"/>
      <c r="F4" s="8"/>
    </row>
    <row r="5" spans="1:6" ht="15" customHeight="1">
      <c r="A5" s="2">
        <v>41989</v>
      </c>
      <c r="B5" s="7" t="s">
        <v>65</v>
      </c>
      <c r="C5" s="13" t="s">
        <v>77</v>
      </c>
      <c r="D5" s="3">
        <f>774.71+46.43</f>
        <v>821.14</v>
      </c>
      <c r="E5" s="3"/>
      <c r="F5" s="8"/>
    </row>
    <row r="6" spans="1:6" ht="15" customHeight="1">
      <c r="A6" s="2">
        <v>41989</v>
      </c>
      <c r="B6" s="7" t="s">
        <v>65</v>
      </c>
      <c r="C6" s="13" t="s">
        <v>78</v>
      </c>
      <c r="D6" s="3">
        <f>460.63+27.57</f>
        <v>488.2</v>
      </c>
      <c r="E6" s="3"/>
      <c r="F6" s="8"/>
    </row>
    <row r="7" spans="1:6" ht="15" customHeight="1">
      <c r="A7" s="2">
        <v>41989</v>
      </c>
      <c r="B7" s="7" t="s">
        <v>65</v>
      </c>
      <c r="C7" s="13" t="s">
        <v>79</v>
      </c>
      <c r="D7" s="3">
        <f>465.03+27.83</f>
        <v>492.85999999999996</v>
      </c>
      <c r="E7" s="3"/>
      <c r="F7" s="8"/>
    </row>
    <row r="8" spans="1:6" ht="15" customHeight="1">
      <c r="A8" s="2">
        <v>41989</v>
      </c>
      <c r="B8" s="7" t="s">
        <v>8</v>
      </c>
      <c r="C8" s="7">
        <v>122</v>
      </c>
      <c r="D8" s="3">
        <f>(3.68+0.22)*C8</f>
        <v>475.80000000000007</v>
      </c>
      <c r="E8" s="3"/>
      <c r="F8" s="8"/>
    </row>
    <row r="9" spans="1:6" ht="15" customHeight="1">
      <c r="A9" s="2">
        <v>41989</v>
      </c>
      <c r="B9" s="7" t="s">
        <v>9</v>
      </c>
      <c r="C9" s="7">
        <v>141</v>
      </c>
      <c r="D9" s="3">
        <f t="shared" ref="D9:D10" si="0">(3.68+0.22)*C9</f>
        <v>549.90000000000009</v>
      </c>
      <c r="E9" s="3"/>
      <c r="F9" s="8"/>
    </row>
    <row r="10" spans="1:6" ht="15" customHeight="1">
      <c r="A10" s="2">
        <v>41989</v>
      </c>
      <c r="B10" s="7" t="s">
        <v>10</v>
      </c>
      <c r="C10" s="7">
        <v>8</v>
      </c>
      <c r="D10" s="3">
        <f t="shared" si="0"/>
        <v>31.200000000000003</v>
      </c>
      <c r="E10" s="3"/>
      <c r="F10" s="8"/>
    </row>
    <row r="11" spans="1:6" ht="15" customHeight="1">
      <c r="A11" s="2">
        <v>41989</v>
      </c>
      <c r="B11" s="7" t="s">
        <v>11</v>
      </c>
      <c r="C11" s="7"/>
      <c r="D11" s="3"/>
      <c r="E11" s="3">
        <f>3*4.29</f>
        <v>12.870000000000001</v>
      </c>
      <c r="F11" s="8"/>
    </row>
    <row r="12" spans="1:6" ht="15" customHeight="1">
      <c r="A12" s="2">
        <v>41989</v>
      </c>
      <c r="B12" s="7" t="s">
        <v>91</v>
      </c>
      <c r="C12" s="7"/>
      <c r="D12" s="3"/>
      <c r="E12" s="3">
        <f>46.43+27.57+27.83</f>
        <v>101.83</v>
      </c>
      <c r="F12" s="8"/>
    </row>
    <row r="13" spans="1:6" ht="15" customHeight="1">
      <c r="A13" s="2">
        <v>41989</v>
      </c>
      <c r="B13" s="7" t="s">
        <v>13</v>
      </c>
      <c r="C13" s="7">
        <f>C8</f>
        <v>122</v>
      </c>
      <c r="D13" s="3"/>
      <c r="E13" s="3">
        <f>0.22*C13</f>
        <v>26.84</v>
      </c>
      <c r="F13" s="8"/>
    </row>
    <row r="14" spans="1:6" ht="15" customHeight="1">
      <c r="A14" s="2">
        <v>41989</v>
      </c>
      <c r="B14" s="7" t="s">
        <v>14</v>
      </c>
      <c r="C14" s="7">
        <f>C9</f>
        <v>141</v>
      </c>
      <c r="D14" s="3"/>
      <c r="E14" s="3">
        <f t="shared" ref="E14:E15" si="1">0.22*C14</f>
        <v>31.02</v>
      </c>
      <c r="F14" s="8"/>
    </row>
    <row r="15" spans="1:6" ht="15" customHeight="1">
      <c r="A15" s="2">
        <v>41989</v>
      </c>
      <c r="B15" s="7" t="s">
        <v>15</v>
      </c>
      <c r="C15" s="7">
        <f>C10</f>
        <v>8</v>
      </c>
      <c r="D15" s="3"/>
      <c r="E15" s="3">
        <f t="shared" si="1"/>
        <v>1.76</v>
      </c>
      <c r="F15" s="8"/>
    </row>
    <row r="16" spans="1:6" ht="15" customHeight="1">
      <c r="A16" s="2">
        <v>41977</v>
      </c>
      <c r="B16" s="7" t="s">
        <v>128</v>
      </c>
      <c r="C16" s="7" t="s">
        <v>130</v>
      </c>
      <c r="D16" s="3">
        <v>40.26</v>
      </c>
      <c r="E16" s="3"/>
      <c r="F16" s="8"/>
    </row>
    <row r="17" spans="1:6" ht="15" customHeight="1">
      <c r="A17" s="2">
        <v>41989</v>
      </c>
      <c r="B17" s="7" t="s">
        <v>131</v>
      </c>
      <c r="C17" s="7" t="s">
        <v>94</v>
      </c>
      <c r="D17" s="3"/>
      <c r="E17" s="3">
        <v>227.09</v>
      </c>
      <c r="F17" s="8"/>
    </row>
    <row r="18" spans="1:6" ht="15" customHeight="1">
      <c r="A18" s="2">
        <v>41989</v>
      </c>
      <c r="B18" s="7" t="s">
        <v>132</v>
      </c>
      <c r="C18" s="7"/>
      <c r="D18" s="3"/>
      <c r="E18" s="3">
        <v>1881.1</v>
      </c>
      <c r="F18" s="8"/>
    </row>
    <row r="19" spans="1:6" ht="15" customHeight="1" thickBot="1">
      <c r="A19" s="4" t="s">
        <v>23</v>
      </c>
      <c r="B19" s="10"/>
      <c r="C19" s="10"/>
      <c r="D19" s="5">
        <f>SUM(D2:D18)</f>
        <v>3126.52</v>
      </c>
      <c r="E19" s="5">
        <f>SUM(E2:E18)</f>
        <v>2282.5099999999998</v>
      </c>
      <c r="F19" s="6">
        <f>D19-E19</f>
        <v>844.01000000000022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Plan26"/>
  <dimension ref="A1:F19"/>
  <sheetViews>
    <sheetView workbookViewId="0">
      <selection activeCell="A15" sqref="A15:XFD15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41990</v>
      </c>
      <c r="B2" s="7" t="s">
        <v>6</v>
      </c>
      <c r="C2" s="7" t="s">
        <v>44</v>
      </c>
      <c r="D2" s="3">
        <f>71.43+4.29</f>
        <v>75.720000000000013</v>
      </c>
      <c r="E2" s="3"/>
      <c r="F2" s="8"/>
    </row>
    <row r="3" spans="1:6" ht="15" customHeight="1">
      <c r="A3" s="2">
        <v>41990</v>
      </c>
      <c r="B3" s="7" t="s">
        <v>6</v>
      </c>
      <c r="C3" s="7" t="s">
        <v>45</v>
      </c>
      <c r="D3" s="3">
        <f>71.43+4.29</f>
        <v>75.720000000000013</v>
      </c>
      <c r="E3" s="3"/>
      <c r="F3" s="8"/>
    </row>
    <row r="4" spans="1:6" ht="15" customHeight="1">
      <c r="A4" s="2">
        <v>41990</v>
      </c>
      <c r="B4" s="7" t="s">
        <v>6</v>
      </c>
      <c r="C4" s="7" t="s">
        <v>46</v>
      </c>
      <c r="D4" s="3">
        <f>71.43+4.29</f>
        <v>75.720000000000013</v>
      </c>
      <c r="E4" s="3"/>
      <c r="F4" s="8"/>
    </row>
    <row r="5" spans="1:6" ht="15" customHeight="1">
      <c r="A5" s="2">
        <v>41990</v>
      </c>
      <c r="B5" s="7" t="s">
        <v>6</v>
      </c>
      <c r="C5" s="7" t="s">
        <v>48</v>
      </c>
      <c r="D5" s="3">
        <f>71.43+4.29</f>
        <v>75.720000000000013</v>
      </c>
      <c r="E5" s="3"/>
      <c r="F5" s="8"/>
    </row>
    <row r="6" spans="1:6" ht="15" customHeight="1">
      <c r="A6" s="2">
        <v>41990</v>
      </c>
      <c r="B6" s="7" t="s">
        <v>6</v>
      </c>
      <c r="C6" s="7" t="s">
        <v>49</v>
      </c>
      <c r="D6" s="3">
        <f>11.98+0.72</f>
        <v>12.700000000000001</v>
      </c>
      <c r="E6" s="3"/>
      <c r="F6" s="8"/>
    </row>
    <row r="7" spans="1:6" ht="15" customHeight="1">
      <c r="A7" s="2">
        <v>41990</v>
      </c>
      <c r="B7" s="7" t="s">
        <v>65</v>
      </c>
      <c r="C7" s="13" t="s">
        <v>80</v>
      </c>
      <c r="D7" s="3">
        <f>32.64+1.95</f>
        <v>34.590000000000003</v>
      </c>
      <c r="E7" s="3"/>
      <c r="F7" s="8"/>
    </row>
    <row r="8" spans="1:6" ht="15" customHeight="1">
      <c r="A8" s="2">
        <v>41990</v>
      </c>
      <c r="B8" s="7" t="s">
        <v>65</v>
      </c>
      <c r="C8" s="13" t="s">
        <v>81</v>
      </c>
      <c r="D8" s="3">
        <f>1058.64+63.44</f>
        <v>1122.0800000000002</v>
      </c>
      <c r="E8" s="3"/>
      <c r="F8" s="8"/>
    </row>
    <row r="9" spans="1:6" ht="15" customHeight="1">
      <c r="A9" s="2">
        <v>41990</v>
      </c>
      <c r="B9" s="7" t="s">
        <v>65</v>
      </c>
      <c r="C9" s="13" t="s">
        <v>82</v>
      </c>
      <c r="D9" s="3">
        <f>28.24+1.69</f>
        <v>29.93</v>
      </c>
      <c r="E9" s="3"/>
      <c r="F9" s="8"/>
    </row>
    <row r="10" spans="1:6" ht="15" customHeight="1">
      <c r="A10" s="2">
        <v>41990</v>
      </c>
      <c r="B10" s="7" t="s">
        <v>8</v>
      </c>
      <c r="C10" s="7">
        <v>156</v>
      </c>
      <c r="D10" s="3">
        <f>(3.68+0.22)*C10</f>
        <v>608.40000000000009</v>
      </c>
      <c r="E10" s="3"/>
      <c r="F10" s="8"/>
    </row>
    <row r="11" spans="1:6" ht="15" customHeight="1">
      <c r="A11" s="2">
        <v>41990</v>
      </c>
      <c r="B11" s="7" t="s">
        <v>9</v>
      </c>
      <c r="C11" s="7">
        <v>155</v>
      </c>
      <c r="D11" s="3">
        <f t="shared" ref="D11:D12" si="0">(3.68+0.22)*C11</f>
        <v>604.5</v>
      </c>
      <c r="E11" s="3"/>
      <c r="F11" s="8"/>
    </row>
    <row r="12" spans="1:6" ht="15" customHeight="1">
      <c r="A12" s="2">
        <v>41990</v>
      </c>
      <c r="B12" s="7" t="s">
        <v>10</v>
      </c>
      <c r="C12" s="7">
        <v>46</v>
      </c>
      <c r="D12" s="3">
        <f t="shared" si="0"/>
        <v>179.4</v>
      </c>
      <c r="E12" s="3"/>
      <c r="F12" s="8"/>
    </row>
    <row r="13" spans="1:6" ht="15" customHeight="1">
      <c r="A13" s="2">
        <v>41990</v>
      </c>
      <c r="B13" s="7" t="s">
        <v>11</v>
      </c>
      <c r="C13" s="7"/>
      <c r="D13" s="3"/>
      <c r="E13" s="3">
        <f>4.29*4+0.72</f>
        <v>17.88</v>
      </c>
      <c r="F13" s="8"/>
    </row>
    <row r="14" spans="1:6" ht="15" customHeight="1">
      <c r="A14" s="2">
        <v>41990</v>
      </c>
      <c r="B14" s="7" t="s">
        <v>91</v>
      </c>
      <c r="C14" s="7"/>
      <c r="D14" s="3"/>
      <c r="E14" s="3">
        <f>63.44+1.69</f>
        <v>65.13</v>
      </c>
      <c r="F14" s="8"/>
    </row>
    <row r="15" spans="1:6" ht="15" customHeight="1">
      <c r="A15" s="2">
        <v>41990</v>
      </c>
      <c r="B15" s="7" t="s">
        <v>13</v>
      </c>
      <c r="C15" s="7">
        <f>C10</f>
        <v>156</v>
      </c>
      <c r="D15" s="3"/>
      <c r="E15" s="3">
        <f>0.22*C15</f>
        <v>34.32</v>
      </c>
      <c r="F15" s="8"/>
    </row>
    <row r="16" spans="1:6" ht="15" customHeight="1">
      <c r="A16" s="2">
        <v>41990</v>
      </c>
      <c r="B16" s="7" t="s">
        <v>14</v>
      </c>
      <c r="C16" s="7">
        <f>C11</f>
        <v>155</v>
      </c>
      <c r="D16" s="3"/>
      <c r="E16" s="3">
        <f t="shared" ref="E16:E17" si="1">0.22*C16</f>
        <v>34.1</v>
      </c>
      <c r="F16" s="8"/>
    </row>
    <row r="17" spans="1:6" ht="15" customHeight="1">
      <c r="A17" s="2">
        <v>41990</v>
      </c>
      <c r="B17" s="7" t="s">
        <v>15</v>
      </c>
      <c r="C17" s="7">
        <f>C12</f>
        <v>46</v>
      </c>
      <c r="D17" s="3"/>
      <c r="E17" s="3">
        <f t="shared" si="1"/>
        <v>10.119999999999999</v>
      </c>
      <c r="F17" s="8"/>
    </row>
    <row r="18" spans="1:6" ht="15" customHeight="1">
      <c r="A18" s="2">
        <v>41990</v>
      </c>
      <c r="B18" s="7" t="s">
        <v>16</v>
      </c>
      <c r="C18" s="7" t="s">
        <v>17</v>
      </c>
      <c r="D18" s="3"/>
      <c r="E18" s="3">
        <v>166</v>
      </c>
      <c r="F18" s="8"/>
    </row>
    <row r="19" spans="1:6" ht="15" customHeight="1" thickBot="1">
      <c r="A19" s="4" t="s">
        <v>23</v>
      </c>
      <c r="B19" s="10"/>
      <c r="C19" s="10"/>
      <c r="D19" s="5">
        <f>SUM(D2:D18)</f>
        <v>2894.4800000000005</v>
      </c>
      <c r="E19" s="5">
        <f>SUM(E2:E18)</f>
        <v>327.54999999999995</v>
      </c>
      <c r="F19" s="6">
        <f>D19-E19</f>
        <v>2566.9300000000003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Plan27"/>
  <dimension ref="A1:F19"/>
  <sheetViews>
    <sheetView workbookViewId="0">
      <selection activeCell="E19" sqref="E19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41991</v>
      </c>
      <c r="B2" s="7" t="s">
        <v>6</v>
      </c>
      <c r="C2" s="7" t="s">
        <v>50</v>
      </c>
      <c r="D2" s="3">
        <f>71.43+4.29</f>
        <v>75.720000000000013</v>
      </c>
      <c r="E2" s="3"/>
      <c r="F2" s="8"/>
    </row>
    <row r="3" spans="1:6" ht="15" customHeight="1">
      <c r="A3" s="2">
        <v>41991</v>
      </c>
      <c r="B3" s="7" t="s">
        <v>6</v>
      </c>
      <c r="C3" s="7" t="s">
        <v>51</v>
      </c>
      <c r="D3" s="3">
        <f>71.43+4.29</f>
        <v>75.720000000000013</v>
      </c>
      <c r="E3" s="3"/>
      <c r="F3" s="8"/>
    </row>
    <row r="4" spans="1:6" ht="15" customHeight="1">
      <c r="A4" s="2">
        <v>41991</v>
      </c>
      <c r="B4" s="7" t="s">
        <v>6</v>
      </c>
      <c r="C4" s="7" t="s">
        <v>52</v>
      </c>
      <c r="D4" s="3">
        <f>15.03+0.9</f>
        <v>15.93</v>
      </c>
      <c r="E4" s="3"/>
      <c r="F4" s="8"/>
    </row>
    <row r="5" spans="1:6" ht="15" customHeight="1">
      <c r="A5" s="2">
        <v>41991</v>
      </c>
      <c r="B5" s="7" t="s">
        <v>6</v>
      </c>
      <c r="C5" s="7" t="s">
        <v>53</v>
      </c>
      <c r="D5" s="3">
        <f>71.43+4.29</f>
        <v>75.720000000000013</v>
      </c>
      <c r="E5" s="3"/>
      <c r="F5" s="8"/>
    </row>
    <row r="6" spans="1:6" ht="15" customHeight="1">
      <c r="A6" s="2">
        <v>41991</v>
      </c>
      <c r="B6" s="7" t="s">
        <v>6</v>
      </c>
      <c r="C6" s="7" t="s">
        <v>54</v>
      </c>
      <c r="D6" s="3">
        <f>71.43+4.29</f>
        <v>75.720000000000013</v>
      </c>
      <c r="E6" s="3"/>
      <c r="F6" s="8"/>
    </row>
    <row r="7" spans="1:6" ht="15" customHeight="1">
      <c r="A7" s="2">
        <v>41991</v>
      </c>
      <c r="B7" s="7" t="s">
        <v>65</v>
      </c>
      <c r="C7" s="13" t="s">
        <v>83</v>
      </c>
      <c r="D7" s="3">
        <f>1539.61+92.27</f>
        <v>1631.8799999999999</v>
      </c>
      <c r="E7" s="3"/>
      <c r="F7" s="8"/>
    </row>
    <row r="8" spans="1:6" ht="15" customHeight="1">
      <c r="A8" s="2">
        <v>41991</v>
      </c>
      <c r="B8" s="7" t="s">
        <v>65</v>
      </c>
      <c r="C8" s="13" t="s">
        <v>84</v>
      </c>
      <c r="D8" s="3">
        <f>23.84+1.43</f>
        <v>25.27</v>
      </c>
      <c r="E8" s="3"/>
      <c r="F8" s="8"/>
    </row>
    <row r="9" spans="1:6" ht="15" customHeight="1">
      <c r="A9" s="2">
        <v>41991</v>
      </c>
      <c r="B9" s="7" t="s">
        <v>7</v>
      </c>
      <c r="C9" s="7">
        <v>1</v>
      </c>
      <c r="D9" s="3">
        <f>22.82+1.37</f>
        <v>24.19</v>
      </c>
      <c r="E9" s="3"/>
      <c r="F9" s="8"/>
    </row>
    <row r="10" spans="1:6" ht="15" customHeight="1">
      <c r="A10" s="2">
        <v>41991</v>
      </c>
      <c r="B10" s="7" t="s">
        <v>8</v>
      </c>
      <c r="C10" s="7">
        <v>245</v>
      </c>
      <c r="D10" s="3">
        <f>(3.68+0.22)*C10</f>
        <v>955.50000000000011</v>
      </c>
      <c r="E10" s="3"/>
      <c r="F10" s="8"/>
    </row>
    <row r="11" spans="1:6" ht="15" customHeight="1">
      <c r="A11" s="2">
        <v>41991</v>
      </c>
      <c r="B11" s="7" t="s">
        <v>9</v>
      </c>
      <c r="C11" s="7">
        <v>71</v>
      </c>
      <c r="D11" s="3">
        <f t="shared" ref="D11:D12" si="0">(3.68+0.22)*C11</f>
        <v>276.90000000000003</v>
      </c>
      <c r="E11" s="3"/>
      <c r="F11" s="8"/>
    </row>
    <row r="12" spans="1:6" ht="15" customHeight="1">
      <c r="A12" s="2">
        <v>41991</v>
      </c>
      <c r="B12" s="7" t="s">
        <v>10</v>
      </c>
      <c r="C12" s="7">
        <v>16</v>
      </c>
      <c r="D12" s="3">
        <f t="shared" si="0"/>
        <v>62.400000000000006</v>
      </c>
      <c r="E12" s="3"/>
      <c r="F12" s="8"/>
    </row>
    <row r="13" spans="1:6" ht="15" customHeight="1">
      <c r="A13" s="2">
        <v>41991</v>
      </c>
      <c r="B13" s="7" t="s">
        <v>11</v>
      </c>
      <c r="C13" s="7"/>
      <c r="D13" s="3"/>
      <c r="E13" s="3">
        <f>4*4.29+0.9</f>
        <v>18.059999999999999</v>
      </c>
      <c r="F13" s="8"/>
    </row>
    <row r="14" spans="1:6" ht="15" customHeight="1">
      <c r="A14" s="2">
        <v>41991</v>
      </c>
      <c r="B14" s="7" t="s">
        <v>91</v>
      </c>
      <c r="C14" s="7"/>
      <c r="D14" s="3"/>
      <c r="E14" s="3">
        <f>92.27+1.43</f>
        <v>93.7</v>
      </c>
      <c r="F14" s="8"/>
    </row>
    <row r="15" spans="1:6" ht="15" customHeight="1">
      <c r="A15" s="2">
        <v>41991</v>
      </c>
      <c r="B15" s="7" t="s">
        <v>12</v>
      </c>
      <c r="C15" s="7">
        <v>1</v>
      </c>
      <c r="D15" s="3"/>
      <c r="E15" s="3">
        <v>1.37</v>
      </c>
      <c r="F15" s="8"/>
    </row>
    <row r="16" spans="1:6" ht="15" customHeight="1">
      <c r="A16" s="2">
        <v>41991</v>
      </c>
      <c r="B16" s="7" t="s">
        <v>13</v>
      </c>
      <c r="C16" s="7">
        <f>C10</f>
        <v>245</v>
      </c>
      <c r="D16" s="3"/>
      <c r="E16" s="3">
        <f>0.22*C16</f>
        <v>53.9</v>
      </c>
      <c r="F16" s="8"/>
    </row>
    <row r="17" spans="1:6" ht="15" customHeight="1">
      <c r="A17" s="2">
        <v>41991</v>
      </c>
      <c r="B17" s="7" t="s">
        <v>14</v>
      </c>
      <c r="C17" s="7">
        <f>C11</f>
        <v>71</v>
      </c>
      <c r="D17" s="3"/>
      <c r="E17" s="3">
        <f t="shared" ref="E17:E18" si="1">0.22*C17</f>
        <v>15.62</v>
      </c>
      <c r="F17" s="8"/>
    </row>
    <row r="18" spans="1:6" ht="15" customHeight="1">
      <c r="A18" s="2">
        <v>41991</v>
      </c>
      <c r="B18" s="7" t="s">
        <v>15</v>
      </c>
      <c r="C18" s="7">
        <f>C12</f>
        <v>16</v>
      </c>
      <c r="D18" s="3"/>
      <c r="E18" s="3">
        <f t="shared" si="1"/>
        <v>3.52</v>
      </c>
      <c r="F18" s="8"/>
    </row>
    <row r="19" spans="1:6" ht="15" customHeight="1" thickBot="1">
      <c r="A19" s="4" t="s">
        <v>23</v>
      </c>
      <c r="B19" s="10"/>
      <c r="C19" s="10"/>
      <c r="D19" s="5">
        <f>SUM(D2:D18)</f>
        <v>3294.9500000000003</v>
      </c>
      <c r="E19" s="5">
        <f>SUM(E2:E18)</f>
        <v>186.17000000000002</v>
      </c>
      <c r="F19" s="6">
        <f>D19-E19</f>
        <v>3108.78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Plan28"/>
  <dimension ref="A1:F16"/>
  <sheetViews>
    <sheetView workbookViewId="0">
      <selection activeCell="A11" sqref="A11:XFD11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41992</v>
      </c>
      <c r="B2" s="7" t="s">
        <v>6</v>
      </c>
      <c r="C2" s="7" t="s">
        <v>55</v>
      </c>
      <c r="D2" s="3">
        <f>71.43+4.29</f>
        <v>75.720000000000013</v>
      </c>
      <c r="E2" s="3"/>
      <c r="F2" s="8"/>
    </row>
    <row r="3" spans="1:6" ht="15" customHeight="1">
      <c r="A3" s="2">
        <v>41992</v>
      </c>
      <c r="B3" s="7" t="s">
        <v>6</v>
      </c>
      <c r="C3" s="7" t="s">
        <v>56</v>
      </c>
      <c r="D3" s="3">
        <f>71.43+4.29</f>
        <v>75.720000000000013</v>
      </c>
      <c r="E3" s="3"/>
      <c r="F3" s="8"/>
    </row>
    <row r="4" spans="1:6" ht="15" customHeight="1">
      <c r="A4" s="2">
        <v>41992</v>
      </c>
      <c r="B4" s="7" t="s">
        <v>6</v>
      </c>
      <c r="C4" s="7" t="s">
        <v>57</v>
      </c>
      <c r="D4" s="3">
        <f>76.63+4.54</f>
        <v>81.17</v>
      </c>
      <c r="E4" s="3"/>
      <c r="F4" s="8"/>
    </row>
    <row r="5" spans="1:6" ht="15" customHeight="1">
      <c r="A5" s="2">
        <v>41992</v>
      </c>
      <c r="B5" s="7" t="s">
        <v>65</v>
      </c>
      <c r="C5" s="13" t="s">
        <v>85</v>
      </c>
      <c r="D5" s="3">
        <f>1170.09+69.91</f>
        <v>1240</v>
      </c>
      <c r="E5" s="3"/>
      <c r="F5" s="8"/>
    </row>
    <row r="6" spans="1:6" ht="15" customHeight="1">
      <c r="A6" s="2">
        <v>41992</v>
      </c>
      <c r="B6" s="7" t="s">
        <v>8</v>
      </c>
      <c r="C6" s="7">
        <v>164</v>
      </c>
      <c r="D6" s="3">
        <f>(3.68+0.22)*C6</f>
        <v>639.6</v>
      </c>
      <c r="E6" s="3"/>
      <c r="F6" s="8"/>
    </row>
    <row r="7" spans="1:6" ht="15" customHeight="1">
      <c r="A7" s="2">
        <v>41992</v>
      </c>
      <c r="B7" s="7" t="s">
        <v>9</v>
      </c>
      <c r="C7" s="7">
        <v>76</v>
      </c>
      <c r="D7" s="3">
        <f t="shared" ref="D7:D8" si="0">(3.68+0.22)*C7</f>
        <v>296.40000000000003</v>
      </c>
      <c r="E7" s="3"/>
      <c r="F7" s="8"/>
    </row>
    <row r="8" spans="1:6" ht="15" customHeight="1">
      <c r="A8" s="2">
        <v>41992</v>
      </c>
      <c r="B8" s="7" t="s">
        <v>10</v>
      </c>
      <c r="C8" s="7">
        <v>15</v>
      </c>
      <c r="D8" s="3">
        <f t="shared" si="0"/>
        <v>58.500000000000007</v>
      </c>
      <c r="E8" s="3"/>
      <c r="F8" s="8"/>
    </row>
    <row r="9" spans="1:6" ht="15" customHeight="1">
      <c r="A9" s="2">
        <v>41992</v>
      </c>
      <c r="B9" s="7" t="s">
        <v>11</v>
      </c>
      <c r="C9" s="7"/>
      <c r="D9" s="3"/>
      <c r="E9" s="3">
        <f>4.29*2+4.54</f>
        <v>13.120000000000001</v>
      </c>
      <c r="F9" s="8"/>
    </row>
    <row r="10" spans="1:6" ht="15" customHeight="1">
      <c r="A10" s="2">
        <v>41992</v>
      </c>
      <c r="B10" s="7" t="s">
        <v>91</v>
      </c>
      <c r="C10" s="7"/>
      <c r="D10" s="3"/>
      <c r="E10" s="3">
        <v>69.91</v>
      </c>
      <c r="F10" s="8"/>
    </row>
    <row r="11" spans="1:6" ht="15" customHeight="1">
      <c r="A11" s="2">
        <v>41992</v>
      </c>
      <c r="B11" s="7" t="s">
        <v>13</v>
      </c>
      <c r="C11" s="7">
        <f>C6</f>
        <v>164</v>
      </c>
      <c r="D11" s="3"/>
      <c r="E11" s="3">
        <f>0.22*C11</f>
        <v>36.08</v>
      </c>
      <c r="F11" s="8"/>
    </row>
    <row r="12" spans="1:6" ht="15" customHeight="1">
      <c r="A12" s="2">
        <v>41992</v>
      </c>
      <c r="B12" s="7" t="s">
        <v>14</v>
      </c>
      <c r="C12" s="7">
        <f>C7</f>
        <v>76</v>
      </c>
      <c r="D12" s="3"/>
      <c r="E12" s="3">
        <f t="shared" ref="E12:E13" si="1">0.22*C12</f>
        <v>16.72</v>
      </c>
      <c r="F12" s="8"/>
    </row>
    <row r="13" spans="1:6" ht="15" customHeight="1">
      <c r="A13" s="2">
        <v>41992</v>
      </c>
      <c r="B13" s="7" t="s">
        <v>15</v>
      </c>
      <c r="C13" s="7">
        <f>C8</f>
        <v>15</v>
      </c>
      <c r="D13" s="3"/>
      <c r="E13" s="3">
        <f t="shared" si="1"/>
        <v>3.3</v>
      </c>
      <c r="F13" s="8"/>
    </row>
    <row r="14" spans="1:6" ht="15" customHeight="1">
      <c r="A14" s="2">
        <v>41992</v>
      </c>
      <c r="B14" s="7" t="s">
        <v>19</v>
      </c>
      <c r="C14" s="7"/>
      <c r="D14" s="3"/>
      <c r="E14" s="3">
        <v>1365.42</v>
      </c>
      <c r="F14" s="8"/>
    </row>
    <row r="15" spans="1:6" ht="15" customHeight="1">
      <c r="A15" s="17">
        <v>41992</v>
      </c>
      <c r="B15" s="18" t="s">
        <v>120</v>
      </c>
      <c r="C15" s="18"/>
      <c r="D15" s="19"/>
      <c r="E15" s="19">
        <v>1314.06</v>
      </c>
      <c r="F15" s="20"/>
    </row>
    <row r="16" spans="1:6" ht="15" customHeight="1" thickBot="1">
      <c r="A16" s="4" t="s">
        <v>23</v>
      </c>
      <c r="B16" s="10"/>
      <c r="C16" s="10"/>
      <c r="D16" s="5">
        <f>SUM(D2:D15)</f>
        <v>2467.11</v>
      </c>
      <c r="E16" s="5">
        <f>SUM(E2:E15)</f>
        <v>2818.61</v>
      </c>
      <c r="F16" s="6">
        <f>D16-E16</f>
        <v>-351.5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Plan31"/>
  <dimension ref="A1:F13"/>
  <sheetViews>
    <sheetView workbookViewId="0">
      <selection activeCell="A10" sqref="A10:XFD10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41995</v>
      </c>
      <c r="B2" s="7" t="s">
        <v>6</v>
      </c>
      <c r="C2" s="7" t="s">
        <v>58</v>
      </c>
      <c r="D2" s="3">
        <f>71.43+4.29</f>
        <v>75.720000000000013</v>
      </c>
      <c r="E2" s="3"/>
      <c r="F2" s="8"/>
    </row>
    <row r="3" spans="1:6" ht="15" customHeight="1">
      <c r="A3" s="2">
        <v>41995</v>
      </c>
      <c r="B3" s="7" t="s">
        <v>6</v>
      </c>
      <c r="C3" s="7" t="s">
        <v>59</v>
      </c>
      <c r="D3" s="3">
        <f>71.43+4.29</f>
        <v>75.720000000000013</v>
      </c>
      <c r="E3" s="3"/>
      <c r="F3" s="8"/>
    </row>
    <row r="4" spans="1:6" ht="15" customHeight="1">
      <c r="A4" s="2">
        <v>41995</v>
      </c>
      <c r="B4" s="7" t="s">
        <v>65</v>
      </c>
      <c r="C4" s="13" t="s">
        <v>86</v>
      </c>
      <c r="D4" s="3">
        <f>765.91+45.91</f>
        <v>811.81999999999994</v>
      </c>
      <c r="E4" s="3"/>
      <c r="F4" s="8"/>
    </row>
    <row r="5" spans="1:6" ht="15" customHeight="1">
      <c r="A5" s="2">
        <v>41995</v>
      </c>
      <c r="B5" s="7" t="s">
        <v>8</v>
      </c>
      <c r="C5" s="7">
        <v>178</v>
      </c>
      <c r="D5" s="3">
        <f>(3.68+0.22)*C5</f>
        <v>694.2</v>
      </c>
      <c r="E5" s="3"/>
      <c r="F5" s="8"/>
    </row>
    <row r="6" spans="1:6" ht="15" customHeight="1">
      <c r="A6" s="2">
        <v>41995</v>
      </c>
      <c r="B6" s="7" t="s">
        <v>9</v>
      </c>
      <c r="C6" s="7">
        <v>125</v>
      </c>
      <c r="D6" s="3">
        <f t="shared" ref="D6:D7" si="0">(3.68+0.22)*C6</f>
        <v>487.50000000000006</v>
      </c>
      <c r="E6" s="3"/>
      <c r="F6" s="8"/>
    </row>
    <row r="7" spans="1:6" ht="15" customHeight="1">
      <c r="A7" s="2">
        <v>41995</v>
      </c>
      <c r="B7" s="7" t="s">
        <v>10</v>
      </c>
      <c r="C7" s="7">
        <v>25</v>
      </c>
      <c r="D7" s="3">
        <f t="shared" si="0"/>
        <v>97.500000000000014</v>
      </c>
      <c r="E7" s="3"/>
      <c r="F7" s="8"/>
    </row>
    <row r="8" spans="1:6" ht="15" customHeight="1">
      <c r="A8" s="2">
        <v>41995</v>
      </c>
      <c r="B8" s="7" t="s">
        <v>11</v>
      </c>
      <c r="C8" s="7"/>
      <c r="D8" s="3"/>
      <c r="E8" s="3">
        <f>4.29*2</f>
        <v>8.58</v>
      </c>
      <c r="F8" s="8"/>
    </row>
    <row r="9" spans="1:6" ht="15" customHeight="1">
      <c r="A9" s="2">
        <v>41995</v>
      </c>
      <c r="B9" s="7" t="s">
        <v>91</v>
      </c>
      <c r="C9" s="7"/>
      <c r="D9" s="3"/>
      <c r="E9" s="3">
        <v>45.91</v>
      </c>
      <c r="F9" s="8"/>
    </row>
    <row r="10" spans="1:6" ht="15" customHeight="1">
      <c r="A10" s="2">
        <v>41995</v>
      </c>
      <c r="B10" s="7" t="s">
        <v>13</v>
      </c>
      <c r="C10" s="7">
        <f>C5</f>
        <v>178</v>
      </c>
      <c r="D10" s="3"/>
      <c r="E10" s="3">
        <f>0.22*C10</f>
        <v>39.160000000000004</v>
      </c>
      <c r="F10" s="8"/>
    </row>
    <row r="11" spans="1:6" ht="15" customHeight="1">
      <c r="A11" s="2">
        <v>41995</v>
      </c>
      <c r="B11" s="7" t="s">
        <v>14</v>
      </c>
      <c r="C11" s="7">
        <f>C6</f>
        <v>125</v>
      </c>
      <c r="D11" s="3"/>
      <c r="E11" s="3">
        <f t="shared" ref="E11:E12" si="1">0.22*C11</f>
        <v>27.5</v>
      </c>
      <c r="F11" s="8"/>
    </row>
    <row r="12" spans="1:6" ht="15" customHeight="1">
      <c r="A12" s="2">
        <v>41995</v>
      </c>
      <c r="B12" s="7" t="s">
        <v>15</v>
      </c>
      <c r="C12" s="7">
        <f>C7</f>
        <v>25</v>
      </c>
      <c r="D12" s="3"/>
      <c r="E12" s="3">
        <f t="shared" si="1"/>
        <v>5.5</v>
      </c>
      <c r="F12" s="8"/>
    </row>
    <row r="13" spans="1:6" ht="15" customHeight="1" thickBot="1">
      <c r="A13" s="4" t="s">
        <v>23</v>
      </c>
      <c r="B13" s="10"/>
      <c r="C13" s="10"/>
      <c r="D13" s="5">
        <f>SUM(D2:D12)</f>
        <v>2242.46</v>
      </c>
      <c r="E13" s="5">
        <f>SUM(E2:E12)</f>
        <v>126.65</v>
      </c>
      <c r="F13" s="6">
        <f>D13-E13</f>
        <v>2115.81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Plan32"/>
  <dimension ref="A1:F16"/>
  <sheetViews>
    <sheetView workbookViewId="0">
      <selection activeCell="E16" sqref="E16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41996</v>
      </c>
      <c r="B2" s="7" t="s">
        <v>6</v>
      </c>
      <c r="C2" s="7" t="s">
        <v>60</v>
      </c>
      <c r="D2" s="3">
        <f>71.43+4.2</f>
        <v>75.63000000000001</v>
      </c>
      <c r="E2" s="3"/>
      <c r="F2" s="8"/>
    </row>
    <row r="3" spans="1:6" ht="15" customHeight="1">
      <c r="A3" s="2">
        <v>41996</v>
      </c>
      <c r="B3" s="7" t="s">
        <v>6</v>
      </c>
      <c r="C3" s="7" t="s">
        <v>61</v>
      </c>
      <c r="D3" s="3">
        <f>71.43+4.2</f>
        <v>75.63000000000001</v>
      </c>
      <c r="E3" s="3"/>
      <c r="F3" s="8"/>
    </row>
    <row r="4" spans="1:6" ht="15" customHeight="1">
      <c r="A4" s="2">
        <v>41996</v>
      </c>
      <c r="B4" s="7" t="s">
        <v>6</v>
      </c>
      <c r="C4" s="7" t="s">
        <v>62</v>
      </c>
      <c r="D4" s="3">
        <f>71.43+4.2</f>
        <v>75.63000000000001</v>
      </c>
      <c r="E4" s="3"/>
      <c r="F4" s="8"/>
    </row>
    <row r="5" spans="1:6" ht="15" customHeight="1">
      <c r="A5" s="2">
        <v>41996</v>
      </c>
      <c r="B5" s="7" t="s">
        <v>65</v>
      </c>
      <c r="C5" s="13" t="s">
        <v>87</v>
      </c>
      <c r="D5" s="3">
        <f>4355.81+260.79</f>
        <v>4616.6000000000004</v>
      </c>
      <c r="E5" s="3"/>
      <c r="F5" s="8"/>
    </row>
    <row r="6" spans="1:6" ht="15" customHeight="1">
      <c r="A6" s="2">
        <v>41996</v>
      </c>
      <c r="B6" s="7" t="s">
        <v>7</v>
      </c>
      <c r="C6" s="7">
        <v>1</v>
      </c>
      <c r="D6" s="3">
        <f>13.05+0.78</f>
        <v>13.83</v>
      </c>
      <c r="E6" s="3"/>
      <c r="F6" s="8"/>
    </row>
    <row r="7" spans="1:6" ht="15" customHeight="1">
      <c r="A7" s="2">
        <v>41996</v>
      </c>
      <c r="B7" s="7" t="s">
        <v>8</v>
      </c>
      <c r="C7" s="7">
        <v>181</v>
      </c>
      <c r="D7" s="3">
        <f>(3.68+0.22)*C7</f>
        <v>705.90000000000009</v>
      </c>
      <c r="E7" s="3"/>
      <c r="F7" s="8"/>
    </row>
    <row r="8" spans="1:6" ht="15" customHeight="1">
      <c r="A8" s="2">
        <v>41996</v>
      </c>
      <c r="B8" s="7" t="s">
        <v>9</v>
      </c>
      <c r="C8" s="7">
        <v>73</v>
      </c>
      <c r="D8" s="3">
        <f t="shared" ref="D8:D9" si="0">(3.68+0.22)*C8</f>
        <v>284.70000000000005</v>
      </c>
      <c r="E8" s="3"/>
      <c r="F8" s="8"/>
    </row>
    <row r="9" spans="1:6" ht="15" customHeight="1">
      <c r="A9" s="2">
        <v>41996</v>
      </c>
      <c r="B9" s="7" t="s">
        <v>10</v>
      </c>
      <c r="C9" s="7">
        <v>14</v>
      </c>
      <c r="D9" s="3">
        <f t="shared" si="0"/>
        <v>54.600000000000009</v>
      </c>
      <c r="E9" s="3"/>
      <c r="F9" s="8"/>
    </row>
    <row r="10" spans="1:6" ht="15" customHeight="1">
      <c r="A10" s="2">
        <v>41996</v>
      </c>
      <c r="B10" s="7" t="s">
        <v>11</v>
      </c>
      <c r="C10" s="7"/>
      <c r="D10" s="3"/>
      <c r="E10" s="3">
        <f>4.2*3</f>
        <v>12.600000000000001</v>
      </c>
      <c r="F10" s="8"/>
    </row>
    <row r="11" spans="1:6" ht="15" customHeight="1">
      <c r="A11" s="2">
        <v>41996</v>
      </c>
      <c r="B11" s="7" t="s">
        <v>91</v>
      </c>
      <c r="C11" s="7"/>
      <c r="D11" s="3"/>
      <c r="E11" s="3">
        <v>260.79000000000002</v>
      </c>
      <c r="F11" s="8"/>
    </row>
    <row r="12" spans="1:6" ht="15" customHeight="1">
      <c r="A12" s="2">
        <v>41996</v>
      </c>
      <c r="B12" s="7" t="s">
        <v>12</v>
      </c>
      <c r="C12" s="7">
        <v>1</v>
      </c>
      <c r="D12" s="3"/>
      <c r="E12" s="3">
        <v>0.78</v>
      </c>
      <c r="F12" s="8"/>
    </row>
    <row r="13" spans="1:6" ht="15" customHeight="1">
      <c r="A13" s="2">
        <v>41996</v>
      </c>
      <c r="B13" s="7" t="s">
        <v>13</v>
      </c>
      <c r="C13" s="7">
        <f>C7</f>
        <v>181</v>
      </c>
      <c r="D13" s="3"/>
      <c r="E13" s="3">
        <f>0.22*C13</f>
        <v>39.82</v>
      </c>
      <c r="F13" s="8"/>
    </row>
    <row r="14" spans="1:6" ht="15" customHeight="1">
      <c r="A14" s="2">
        <v>41996</v>
      </c>
      <c r="B14" s="7" t="s">
        <v>14</v>
      </c>
      <c r="C14" s="7">
        <f>C8</f>
        <v>73</v>
      </c>
      <c r="D14" s="3"/>
      <c r="E14" s="3">
        <f t="shared" ref="E14:E15" si="1">0.22*C14</f>
        <v>16.059999999999999</v>
      </c>
      <c r="F14" s="8"/>
    </row>
    <row r="15" spans="1:6" ht="15" customHeight="1">
      <c r="A15" s="2">
        <v>41996</v>
      </c>
      <c r="B15" s="7" t="s">
        <v>15</v>
      </c>
      <c r="C15" s="7">
        <f>C9</f>
        <v>14</v>
      </c>
      <c r="D15" s="3"/>
      <c r="E15" s="3">
        <f t="shared" si="1"/>
        <v>3.08</v>
      </c>
      <c r="F15" s="8"/>
    </row>
    <row r="16" spans="1:6" ht="15" customHeight="1" thickBot="1">
      <c r="A16" s="4" t="s">
        <v>23</v>
      </c>
      <c r="B16" s="10"/>
      <c r="C16" s="10"/>
      <c r="D16" s="5">
        <f>SUM(D2:D15)</f>
        <v>5902.5200000000013</v>
      </c>
      <c r="E16" s="5">
        <f>SUM(E2:E15)</f>
        <v>333.13</v>
      </c>
      <c r="F16" s="6">
        <f>D16-E16</f>
        <v>5569.3900000000012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Plan35"/>
  <dimension ref="A1:F9"/>
  <sheetViews>
    <sheetView workbookViewId="0"/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41999</v>
      </c>
      <c r="B2" s="7" t="s">
        <v>8</v>
      </c>
      <c r="C2" s="7">
        <v>68</v>
      </c>
      <c r="D2" s="3">
        <f>(3.68+0.22)*C2</f>
        <v>265.20000000000005</v>
      </c>
      <c r="E2" s="3"/>
      <c r="F2" s="8"/>
    </row>
    <row r="3" spans="1:6" ht="15" customHeight="1">
      <c r="A3" s="2">
        <v>41999</v>
      </c>
      <c r="B3" s="7" t="s">
        <v>9</v>
      </c>
      <c r="C3" s="7">
        <v>19</v>
      </c>
      <c r="D3" s="3">
        <f t="shared" ref="D3:D4" si="0">(3.68+0.22)*C3</f>
        <v>74.100000000000009</v>
      </c>
      <c r="E3" s="3"/>
      <c r="F3" s="8"/>
    </row>
    <row r="4" spans="1:6" ht="15" customHeight="1">
      <c r="A4" s="2">
        <v>41999</v>
      </c>
      <c r="B4" s="7" t="s">
        <v>10</v>
      </c>
      <c r="C4" s="7">
        <v>5</v>
      </c>
      <c r="D4" s="3">
        <f t="shared" si="0"/>
        <v>19.5</v>
      </c>
      <c r="E4" s="3"/>
      <c r="F4" s="8"/>
    </row>
    <row r="5" spans="1:6" ht="15" customHeight="1">
      <c r="A5" s="2">
        <v>41999</v>
      </c>
      <c r="B5" s="7" t="s">
        <v>13</v>
      </c>
      <c r="C5" s="7">
        <f>C2</f>
        <v>68</v>
      </c>
      <c r="D5" s="3"/>
      <c r="E5" s="3">
        <f>0.22*C5</f>
        <v>14.96</v>
      </c>
      <c r="F5" s="8"/>
    </row>
    <row r="6" spans="1:6" ht="15" customHeight="1">
      <c r="A6" s="2">
        <v>41999</v>
      </c>
      <c r="B6" s="7" t="s">
        <v>14</v>
      </c>
      <c r="C6" s="7">
        <f>C3</f>
        <v>19</v>
      </c>
      <c r="D6" s="3"/>
      <c r="E6" s="3">
        <f t="shared" ref="E6:E7" si="1">0.22*C6</f>
        <v>4.18</v>
      </c>
      <c r="F6" s="8"/>
    </row>
    <row r="7" spans="1:6" ht="15" customHeight="1">
      <c r="A7" s="2">
        <v>41999</v>
      </c>
      <c r="B7" s="7" t="s">
        <v>15</v>
      </c>
      <c r="C7" s="7">
        <f>C4</f>
        <v>5</v>
      </c>
      <c r="D7" s="3"/>
      <c r="E7" s="3">
        <f t="shared" si="1"/>
        <v>1.1000000000000001</v>
      </c>
      <c r="F7" s="8"/>
    </row>
    <row r="8" spans="1:6" ht="15" customHeight="1">
      <c r="A8" s="2">
        <v>41999</v>
      </c>
      <c r="B8" s="7" t="s">
        <v>92</v>
      </c>
      <c r="C8" s="7" t="s">
        <v>93</v>
      </c>
      <c r="D8" s="3"/>
      <c r="E8" s="3">
        <v>99.9</v>
      </c>
      <c r="F8" s="8"/>
    </row>
    <row r="9" spans="1:6" ht="15" customHeight="1" thickBot="1">
      <c r="A9" s="4" t="s">
        <v>23</v>
      </c>
      <c r="B9" s="10"/>
      <c r="C9" s="10"/>
      <c r="D9" s="5">
        <f>SUM(D2:D8)</f>
        <v>358.80000000000007</v>
      </c>
      <c r="E9" s="5">
        <f>SUM(E5:E8)</f>
        <v>120.14000000000001</v>
      </c>
      <c r="F9" s="6">
        <f>D9-E9</f>
        <v>238.66000000000005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Plan38"/>
  <dimension ref="A1:F11"/>
  <sheetViews>
    <sheetView workbookViewId="0">
      <selection activeCell="A8" sqref="A8:XFD8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42002</v>
      </c>
      <c r="B2" s="7" t="s">
        <v>6</v>
      </c>
      <c r="C2" s="7" t="s">
        <v>63</v>
      </c>
      <c r="D2" s="3">
        <f>71.43+4.2</f>
        <v>75.63000000000001</v>
      </c>
      <c r="E2" s="3"/>
      <c r="F2" s="8"/>
    </row>
    <row r="3" spans="1:6" ht="15" customHeight="1">
      <c r="A3" s="2">
        <v>42002</v>
      </c>
      <c r="B3" s="7" t="s">
        <v>6</v>
      </c>
      <c r="C3" s="7" t="s">
        <v>64</v>
      </c>
      <c r="D3" s="3">
        <f>71.43+4.2</f>
        <v>75.63000000000001</v>
      </c>
      <c r="E3" s="3"/>
      <c r="F3" s="8"/>
    </row>
    <row r="4" spans="1:6" ht="15" customHeight="1">
      <c r="A4" s="2">
        <v>42002</v>
      </c>
      <c r="B4" s="7" t="s">
        <v>8</v>
      </c>
      <c r="C4" s="7">
        <v>86</v>
      </c>
      <c r="D4" s="3">
        <f>(3.68+0.22)*C4</f>
        <v>335.40000000000003</v>
      </c>
      <c r="E4" s="3"/>
      <c r="F4" s="8"/>
    </row>
    <row r="5" spans="1:6" ht="15" customHeight="1">
      <c r="A5" s="2">
        <v>42002</v>
      </c>
      <c r="B5" s="7" t="s">
        <v>9</v>
      </c>
      <c r="C5" s="7">
        <v>33</v>
      </c>
      <c r="D5" s="3">
        <f t="shared" ref="D5:D6" si="0">(3.68+0.22)*C5</f>
        <v>128.70000000000002</v>
      </c>
      <c r="E5" s="3"/>
      <c r="F5" s="8"/>
    </row>
    <row r="6" spans="1:6" ht="15" customHeight="1">
      <c r="A6" s="2">
        <v>42002</v>
      </c>
      <c r="B6" s="7" t="s">
        <v>10</v>
      </c>
      <c r="C6" s="7">
        <v>4</v>
      </c>
      <c r="D6" s="3">
        <f t="shared" si="0"/>
        <v>15.600000000000001</v>
      </c>
      <c r="E6" s="3"/>
      <c r="F6" s="8"/>
    </row>
    <row r="7" spans="1:6" ht="15" customHeight="1">
      <c r="A7" s="2">
        <v>42002</v>
      </c>
      <c r="B7" s="7" t="s">
        <v>11</v>
      </c>
      <c r="C7" s="7"/>
      <c r="D7" s="3"/>
      <c r="E7" s="3">
        <f>4.2*2</f>
        <v>8.4</v>
      </c>
      <c r="F7" s="8"/>
    </row>
    <row r="8" spans="1:6" ht="15" customHeight="1">
      <c r="A8" s="2">
        <v>42002</v>
      </c>
      <c r="B8" s="7" t="s">
        <v>13</v>
      </c>
      <c r="C8" s="7">
        <f>C4</f>
        <v>86</v>
      </c>
      <c r="D8" s="3"/>
      <c r="E8" s="3">
        <f>0.22*C8</f>
        <v>18.920000000000002</v>
      </c>
      <c r="F8" s="8"/>
    </row>
    <row r="9" spans="1:6" ht="15" customHeight="1">
      <c r="A9" s="2">
        <v>42002</v>
      </c>
      <c r="B9" s="7" t="s">
        <v>14</v>
      </c>
      <c r="C9" s="7">
        <f>C5</f>
        <v>33</v>
      </c>
      <c r="D9" s="3"/>
      <c r="E9" s="3">
        <f t="shared" ref="E9:E10" si="1">0.22*C9</f>
        <v>7.26</v>
      </c>
      <c r="F9" s="8"/>
    </row>
    <row r="10" spans="1:6" ht="15" customHeight="1">
      <c r="A10" s="2">
        <v>42002</v>
      </c>
      <c r="B10" s="7" t="s">
        <v>15</v>
      </c>
      <c r="C10" s="7">
        <f>C6</f>
        <v>4</v>
      </c>
      <c r="D10" s="3"/>
      <c r="E10" s="3">
        <f t="shared" si="1"/>
        <v>0.88</v>
      </c>
      <c r="F10" s="8"/>
    </row>
    <row r="11" spans="1:6" ht="15" customHeight="1" thickBot="1">
      <c r="A11" s="4" t="s">
        <v>23</v>
      </c>
      <c r="B11" s="10"/>
      <c r="C11" s="10"/>
      <c r="D11" s="5">
        <f>SUM(D2:D10)</f>
        <v>630.96000000000015</v>
      </c>
      <c r="E11" s="5">
        <f>SUM(E2:E10)</f>
        <v>35.46</v>
      </c>
      <c r="F11" s="6">
        <f>D11-E11</f>
        <v>595.50000000000011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Plan39"/>
  <dimension ref="A1:F14"/>
  <sheetViews>
    <sheetView tabSelected="1" workbookViewId="0">
      <selection activeCell="E14" sqref="E14"/>
    </sheetView>
  </sheetViews>
  <sheetFormatPr defaultRowHeight="15" customHeight="1"/>
  <cols>
    <col min="1" max="1" width="13.42578125" customWidth="1"/>
    <col min="2" max="2" width="20.7109375" customWidth="1"/>
    <col min="3" max="3" width="16.7109375" customWidth="1"/>
    <col min="4" max="5" width="13.42578125" customWidth="1"/>
    <col min="6" max="6" width="14.5703125" customWidth="1"/>
  </cols>
  <sheetData>
    <row r="1" spans="1:6" ht="15" customHeight="1" thickTop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42003</v>
      </c>
      <c r="B2" s="7" t="s">
        <v>65</v>
      </c>
      <c r="C2" s="13" t="s">
        <v>88</v>
      </c>
      <c r="D2" s="3">
        <f>961.39+57.63</f>
        <v>1019.02</v>
      </c>
      <c r="E2" s="3"/>
      <c r="F2" s="8"/>
    </row>
    <row r="3" spans="1:6" ht="15" customHeight="1">
      <c r="A3" s="2">
        <v>42003</v>
      </c>
      <c r="B3" s="7" t="s">
        <v>65</v>
      </c>
      <c r="C3" s="13" t="s">
        <v>89</v>
      </c>
      <c r="D3" s="3">
        <f>992.19+59.45</f>
        <v>1051.6400000000001</v>
      </c>
      <c r="E3" s="3"/>
      <c r="F3" s="8"/>
    </row>
    <row r="4" spans="1:6" ht="15" customHeight="1">
      <c r="A4" s="2">
        <v>42003</v>
      </c>
      <c r="B4" s="7" t="s">
        <v>65</v>
      </c>
      <c r="C4" s="13" t="s">
        <v>90</v>
      </c>
      <c r="D4" s="3">
        <f>1517.61+90.97</f>
        <v>1608.58</v>
      </c>
      <c r="E4" s="3"/>
      <c r="F4" s="8"/>
    </row>
    <row r="5" spans="1:6" ht="15" customHeight="1">
      <c r="A5" s="2">
        <v>42003</v>
      </c>
      <c r="B5" s="7" t="s">
        <v>7</v>
      </c>
      <c r="C5" s="7">
        <v>1</v>
      </c>
      <c r="D5" s="3">
        <f>22.82+1.37</f>
        <v>24.19</v>
      </c>
      <c r="E5" s="3"/>
      <c r="F5" s="8"/>
    </row>
    <row r="6" spans="1:6" ht="15" customHeight="1">
      <c r="A6" s="2">
        <v>42003</v>
      </c>
      <c r="B6" s="7" t="s">
        <v>8</v>
      </c>
      <c r="C6" s="7">
        <v>102</v>
      </c>
      <c r="D6" s="3">
        <f>(3.68+0.22)*C6</f>
        <v>397.8</v>
      </c>
      <c r="E6" s="3"/>
      <c r="F6" s="8"/>
    </row>
    <row r="7" spans="1:6" ht="15" customHeight="1">
      <c r="A7" s="2">
        <v>42003</v>
      </c>
      <c r="B7" s="7" t="s">
        <v>9</v>
      </c>
      <c r="C7" s="7">
        <v>68</v>
      </c>
      <c r="D7" s="3">
        <f t="shared" ref="D7:D8" si="0">(3.68+0.22)*C7</f>
        <v>265.20000000000005</v>
      </c>
      <c r="E7" s="3"/>
      <c r="F7" s="8"/>
    </row>
    <row r="8" spans="1:6" ht="15" customHeight="1">
      <c r="A8" s="2">
        <v>42003</v>
      </c>
      <c r="B8" s="7" t="s">
        <v>10</v>
      </c>
      <c r="C8" s="7">
        <v>11</v>
      </c>
      <c r="D8" s="3">
        <f t="shared" si="0"/>
        <v>42.900000000000006</v>
      </c>
      <c r="E8" s="3"/>
      <c r="F8" s="8"/>
    </row>
    <row r="9" spans="1:6" ht="15" customHeight="1">
      <c r="A9" s="2">
        <v>42003</v>
      </c>
      <c r="B9" s="7" t="s">
        <v>91</v>
      </c>
      <c r="C9" s="7"/>
      <c r="D9" s="3"/>
      <c r="E9" s="3">
        <f>57.63+59.45+90.97</f>
        <v>208.05</v>
      </c>
      <c r="F9" s="8"/>
    </row>
    <row r="10" spans="1:6" ht="15" customHeight="1">
      <c r="A10" s="2">
        <v>42003</v>
      </c>
      <c r="B10" s="7" t="s">
        <v>12</v>
      </c>
      <c r="C10" s="7">
        <v>1</v>
      </c>
      <c r="D10" s="3"/>
      <c r="E10" s="3">
        <v>1.37</v>
      </c>
      <c r="F10" s="8"/>
    </row>
    <row r="11" spans="1:6" ht="15" customHeight="1">
      <c r="A11" s="2">
        <v>42003</v>
      </c>
      <c r="B11" s="7" t="s">
        <v>13</v>
      </c>
      <c r="C11" s="7">
        <f>C6</f>
        <v>102</v>
      </c>
      <c r="D11" s="3"/>
      <c r="E11" s="3">
        <f>0.22*C11</f>
        <v>22.44</v>
      </c>
      <c r="F11" s="8"/>
    </row>
    <row r="12" spans="1:6" ht="15" customHeight="1">
      <c r="A12" s="2">
        <v>42003</v>
      </c>
      <c r="B12" s="7" t="s">
        <v>14</v>
      </c>
      <c r="C12" s="7">
        <f>C7</f>
        <v>68</v>
      </c>
      <c r="D12" s="3"/>
      <c r="E12" s="3">
        <f t="shared" ref="E12:E13" si="1">0.22*C12</f>
        <v>14.96</v>
      </c>
      <c r="F12" s="8"/>
    </row>
    <row r="13" spans="1:6" ht="15" customHeight="1">
      <c r="A13" s="2">
        <v>42003</v>
      </c>
      <c r="B13" s="7" t="s">
        <v>15</v>
      </c>
      <c r="C13" s="7">
        <f>C8</f>
        <v>11</v>
      </c>
      <c r="D13" s="3"/>
      <c r="E13" s="3">
        <f t="shared" si="1"/>
        <v>2.42</v>
      </c>
      <c r="F13" s="8"/>
    </row>
    <row r="14" spans="1:6" ht="15" customHeight="1" thickBot="1">
      <c r="A14" s="4" t="s">
        <v>23</v>
      </c>
      <c r="B14" s="10"/>
      <c r="C14" s="10"/>
      <c r="D14" s="5">
        <f>SUM(D2:D13)</f>
        <v>4409.329999999999</v>
      </c>
      <c r="E14" s="5">
        <f>SUM(E2:E13)</f>
        <v>249.24</v>
      </c>
      <c r="F14" s="6">
        <f>D14-E14</f>
        <v>4160.0899999999992</v>
      </c>
    </row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Plan1"/>
  <dimension ref="A1:D22"/>
  <sheetViews>
    <sheetView workbookViewId="0">
      <selection activeCell="E17" sqref="E17"/>
    </sheetView>
  </sheetViews>
  <sheetFormatPr defaultRowHeight="15"/>
  <cols>
    <col min="1" max="1" width="10.42578125" bestFit="1" customWidth="1"/>
    <col min="4" max="4" width="14" bestFit="1" customWidth="1"/>
  </cols>
  <sheetData>
    <row r="1" spans="1:4" ht="15.75" thickTop="1">
      <c r="A1" s="11" t="s">
        <v>0</v>
      </c>
      <c r="B1" s="11" t="s">
        <v>3</v>
      </c>
      <c r="C1" s="11" t="s">
        <v>4</v>
      </c>
      <c r="D1" s="11" t="s">
        <v>5</v>
      </c>
    </row>
    <row r="2" spans="1:4">
      <c r="A2" s="12">
        <v>41974</v>
      </c>
      <c r="B2" s="16">
        <f>'1'!D15</f>
        <v>911.94</v>
      </c>
      <c r="C2" s="16">
        <f>'1'!E15</f>
        <v>6297.55</v>
      </c>
      <c r="D2" s="16">
        <f>B2-C2</f>
        <v>-5385.6100000000006</v>
      </c>
    </row>
    <row r="3" spans="1:4">
      <c r="A3" s="12">
        <v>41975</v>
      </c>
      <c r="B3" s="16">
        <f>'2'!D21</f>
        <v>2879.0800000000004</v>
      </c>
      <c r="C3" s="16">
        <f>'2'!E21</f>
        <v>162.65000000000003</v>
      </c>
      <c r="D3" s="16">
        <f t="shared" ref="D3:D20" si="0">B3-C3</f>
        <v>2716.4300000000003</v>
      </c>
    </row>
    <row r="4" spans="1:4">
      <c r="A4" s="12">
        <v>41976</v>
      </c>
      <c r="B4" s="16">
        <f>'3'!D8</f>
        <v>865.80000000000007</v>
      </c>
      <c r="C4" s="16">
        <f>'3'!E8</f>
        <v>48.84</v>
      </c>
      <c r="D4" s="16">
        <f t="shared" si="0"/>
        <v>816.96</v>
      </c>
    </row>
    <row r="5" spans="1:4">
      <c r="A5" s="12">
        <v>41977</v>
      </c>
      <c r="B5" s="16">
        <f>'4'!D16</f>
        <v>1882.9</v>
      </c>
      <c r="C5" s="16">
        <f>'4'!E16</f>
        <v>221.44</v>
      </c>
      <c r="D5" s="16">
        <f t="shared" si="0"/>
        <v>1661.46</v>
      </c>
    </row>
    <row r="6" spans="1:4">
      <c r="A6" s="12">
        <v>41978</v>
      </c>
      <c r="B6" s="16">
        <f>'5'!D18</f>
        <v>2762.98</v>
      </c>
      <c r="C6" s="16">
        <f>'5'!E18</f>
        <v>1062.1500000000001</v>
      </c>
      <c r="D6" s="16">
        <f t="shared" si="0"/>
        <v>1700.83</v>
      </c>
    </row>
    <row r="7" spans="1:4">
      <c r="A7" s="12">
        <v>41982</v>
      </c>
      <c r="B7" s="16">
        <f>'9'!D17</f>
        <v>7509.7000000000007</v>
      </c>
      <c r="C7" s="16">
        <f>'9'!E17</f>
        <v>423.98</v>
      </c>
      <c r="D7" s="16">
        <f t="shared" si="0"/>
        <v>7085.7200000000012</v>
      </c>
    </row>
    <row r="8" spans="1:4">
      <c r="A8" s="12">
        <v>41983</v>
      </c>
      <c r="B8" s="16">
        <f>'10'!D13</f>
        <v>1926.8400000000001</v>
      </c>
      <c r="C8" s="16">
        <f>'10'!E13</f>
        <v>108.74000000000001</v>
      </c>
      <c r="D8" s="16">
        <f t="shared" si="0"/>
        <v>1818.1000000000001</v>
      </c>
    </row>
    <row r="9" spans="1:4">
      <c r="A9" s="12">
        <v>41984</v>
      </c>
      <c r="B9" s="16">
        <f>'11'!D13</f>
        <v>1431</v>
      </c>
      <c r="C9" s="16">
        <f>'11'!E13</f>
        <v>80.759999999999991</v>
      </c>
      <c r="D9" s="16">
        <f t="shared" si="0"/>
        <v>1350.24</v>
      </c>
    </row>
    <row r="10" spans="1:4">
      <c r="A10" s="12">
        <v>41985</v>
      </c>
      <c r="B10" s="16">
        <f>'12'!D10</f>
        <v>2375.96</v>
      </c>
      <c r="C10" s="16">
        <f>'12'!E10</f>
        <v>134.20999999999998</v>
      </c>
      <c r="D10" s="16">
        <f t="shared" si="0"/>
        <v>2241.75</v>
      </c>
    </row>
    <row r="11" spans="1:4">
      <c r="A11" s="12">
        <v>41988</v>
      </c>
      <c r="B11" s="16">
        <f>'15'!D12</f>
        <v>2521.2799999999997</v>
      </c>
      <c r="C11" s="16">
        <f>'15'!E12</f>
        <v>846.68</v>
      </c>
      <c r="D11" s="16">
        <f t="shared" si="0"/>
        <v>1674.6</v>
      </c>
    </row>
    <row r="12" spans="1:4">
      <c r="A12" s="12">
        <v>41989</v>
      </c>
      <c r="B12" s="16">
        <f>'16'!D19</f>
        <v>3126.52</v>
      </c>
      <c r="C12" s="16">
        <f>'16'!E19</f>
        <v>2282.5099999999998</v>
      </c>
      <c r="D12" s="16">
        <f t="shared" si="0"/>
        <v>844.01000000000022</v>
      </c>
    </row>
    <row r="13" spans="1:4">
      <c r="A13" s="12">
        <v>41990</v>
      </c>
      <c r="B13" s="16">
        <f>'17'!D19</f>
        <v>2894.4800000000005</v>
      </c>
      <c r="C13" s="16">
        <f>'17'!E19</f>
        <v>327.54999999999995</v>
      </c>
      <c r="D13" s="16">
        <f t="shared" si="0"/>
        <v>2566.9300000000003</v>
      </c>
    </row>
    <row r="14" spans="1:4">
      <c r="A14" s="12">
        <v>41991</v>
      </c>
      <c r="B14" s="16">
        <f>'18'!D19</f>
        <v>3294.9500000000003</v>
      </c>
      <c r="C14" s="16">
        <f>'18'!E19</f>
        <v>186.17000000000002</v>
      </c>
      <c r="D14" s="16">
        <f t="shared" si="0"/>
        <v>3108.78</v>
      </c>
    </row>
    <row r="15" spans="1:4">
      <c r="A15" s="12">
        <v>41992</v>
      </c>
      <c r="B15" s="16">
        <f>'19'!D16</f>
        <v>2467.11</v>
      </c>
      <c r="C15" s="16">
        <f>'19'!E16</f>
        <v>2818.61</v>
      </c>
      <c r="D15" s="16">
        <f t="shared" si="0"/>
        <v>-351.5</v>
      </c>
    </row>
    <row r="16" spans="1:4">
      <c r="A16" s="12">
        <v>41995</v>
      </c>
      <c r="B16" s="16">
        <f>'22'!D13</f>
        <v>2242.46</v>
      </c>
      <c r="C16" s="16">
        <f>'22'!E13</f>
        <v>126.65</v>
      </c>
      <c r="D16" s="16">
        <f t="shared" si="0"/>
        <v>2115.81</v>
      </c>
    </row>
    <row r="17" spans="1:4">
      <c r="A17" s="12">
        <v>41996</v>
      </c>
      <c r="B17" s="16">
        <f>'23'!D16</f>
        <v>5902.5200000000013</v>
      </c>
      <c r="C17" s="16">
        <f>'23'!E16</f>
        <v>333.13</v>
      </c>
      <c r="D17" s="16">
        <f t="shared" si="0"/>
        <v>5569.3900000000012</v>
      </c>
    </row>
    <row r="18" spans="1:4">
      <c r="A18" s="12">
        <v>41999</v>
      </c>
      <c r="B18" s="16">
        <f>'26'!D9</f>
        <v>358.80000000000007</v>
      </c>
      <c r="C18" s="16">
        <f>'26'!E9</f>
        <v>120.14000000000001</v>
      </c>
      <c r="D18" s="16">
        <f t="shared" si="0"/>
        <v>238.66000000000005</v>
      </c>
    </row>
    <row r="19" spans="1:4">
      <c r="A19" s="12">
        <v>42002</v>
      </c>
      <c r="B19" s="16">
        <f>'29'!D11</f>
        <v>630.96000000000015</v>
      </c>
      <c r="C19" s="16">
        <f>'29'!E11</f>
        <v>35.46</v>
      </c>
      <c r="D19" s="16">
        <f t="shared" si="0"/>
        <v>595.50000000000011</v>
      </c>
    </row>
    <row r="20" spans="1:4">
      <c r="A20" s="12">
        <v>42003</v>
      </c>
      <c r="B20" s="16">
        <f>'30'!D14</f>
        <v>4409.329999999999</v>
      </c>
      <c r="C20" s="16">
        <f>'30'!E14</f>
        <v>249.24</v>
      </c>
      <c r="D20" s="16">
        <f t="shared" si="0"/>
        <v>4160.0899999999992</v>
      </c>
    </row>
    <row r="21" spans="1:4" ht="15.75" thickBot="1">
      <c r="A21" s="14" t="s">
        <v>23</v>
      </c>
      <c r="B21" s="15">
        <f>SUM(B2:B20)</f>
        <v>50394.610000000008</v>
      </c>
      <c r="C21" s="15">
        <f>SUM(C2:C20)</f>
        <v>15866.459999999995</v>
      </c>
      <c r="D21" s="15">
        <f t="shared" ref="D21" si="1">B21-C21</f>
        <v>34528.150000000009</v>
      </c>
    </row>
    <row r="22" spans="1:4" ht="15.75" thickTop="1"/>
  </sheetData>
  <pageMargins left="1.37795275590551" right="0.59055118110236204" top="1.5748031496063" bottom="0.98425196850393704" header="0.511811023622047" footer="0.31496062992126"/>
  <pageSetup paperSize="122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Plan2"/>
  <dimension ref="A1:E36"/>
  <sheetViews>
    <sheetView topLeftCell="A10" workbookViewId="0">
      <selection activeCell="A16" sqref="A16"/>
    </sheetView>
  </sheetViews>
  <sheetFormatPr defaultRowHeight="15"/>
  <cols>
    <col min="2" max="2" width="13.28515625" customWidth="1"/>
    <col min="3" max="3" width="13.5703125" customWidth="1"/>
  </cols>
  <sheetData>
    <row r="1" spans="1:5">
      <c r="A1" s="22" t="s">
        <v>98</v>
      </c>
      <c r="B1" s="23" t="s">
        <v>99</v>
      </c>
      <c r="C1" s="24" t="s">
        <v>100</v>
      </c>
      <c r="D1" s="26"/>
      <c r="E1" s="21"/>
    </row>
    <row r="2" spans="1:5">
      <c r="A2" s="22">
        <v>1</v>
      </c>
      <c r="B2" s="23">
        <v>31336</v>
      </c>
      <c r="C2" s="24">
        <v>33653.660000000003</v>
      </c>
      <c r="D2" s="26"/>
      <c r="E2" s="21"/>
    </row>
    <row r="3" spans="1:5">
      <c r="A3" s="22">
        <v>2</v>
      </c>
      <c r="B3" s="23">
        <v>50158.5</v>
      </c>
      <c r="C3" s="24">
        <v>53327.16</v>
      </c>
      <c r="D3" s="26"/>
      <c r="E3" s="21"/>
    </row>
    <row r="4" spans="1:5">
      <c r="A4" s="22">
        <v>3</v>
      </c>
      <c r="B4" s="23">
        <v>39619.4</v>
      </c>
      <c r="C4" s="24">
        <v>41701.339999999997</v>
      </c>
      <c r="D4" s="26"/>
      <c r="E4" s="21"/>
    </row>
    <row r="5" spans="1:5">
      <c r="A5" s="22">
        <v>4</v>
      </c>
      <c r="B5" s="23">
        <v>48704.2</v>
      </c>
      <c r="C5" s="24">
        <v>47659.43</v>
      </c>
      <c r="D5" s="26"/>
      <c r="E5" s="21"/>
    </row>
    <row r="6" spans="1:5">
      <c r="A6" s="22">
        <v>5</v>
      </c>
      <c r="B6" s="23">
        <v>0</v>
      </c>
      <c r="C6" s="24">
        <v>48098.99</v>
      </c>
      <c r="D6" s="26"/>
      <c r="E6" s="21"/>
    </row>
    <row r="7" spans="1:5">
      <c r="A7" s="22">
        <v>6</v>
      </c>
      <c r="B7" s="23">
        <v>44914.2</v>
      </c>
      <c r="C7" s="24">
        <v>47979.89</v>
      </c>
      <c r="D7" s="26"/>
      <c r="E7" s="21"/>
    </row>
    <row r="8" spans="1:5">
      <c r="A8" s="22">
        <v>7</v>
      </c>
      <c r="B8" s="23">
        <v>51432.6</v>
      </c>
      <c r="C8" s="24">
        <v>54782.21</v>
      </c>
      <c r="D8" s="26"/>
      <c r="E8" s="21"/>
    </row>
    <row r="9" spans="1:5">
      <c r="A9" s="22">
        <v>8</v>
      </c>
      <c r="B9" s="23">
        <v>46712.6</v>
      </c>
      <c r="C9" s="24">
        <v>49568.42</v>
      </c>
      <c r="D9" s="26"/>
      <c r="E9" s="21"/>
    </row>
    <row r="10" spans="1:5">
      <c r="A10" s="22">
        <v>9</v>
      </c>
      <c r="B10" s="23">
        <v>37690.199999999997</v>
      </c>
      <c r="C10" s="24">
        <v>35881.81</v>
      </c>
      <c r="D10" s="26"/>
      <c r="E10" s="21"/>
    </row>
    <row r="11" spans="1:5">
      <c r="A11" s="22">
        <v>10</v>
      </c>
      <c r="B11" s="23">
        <v>51632.2</v>
      </c>
      <c r="C11" s="24">
        <v>55324.55</v>
      </c>
      <c r="D11" s="26"/>
      <c r="E11" s="21"/>
    </row>
    <row r="12" spans="1:5">
      <c r="A12" s="22">
        <v>11</v>
      </c>
      <c r="B12" s="23">
        <v>0</v>
      </c>
      <c r="C12" s="24">
        <v>40225.629999999997</v>
      </c>
      <c r="D12" s="26"/>
      <c r="E12" s="21"/>
    </row>
    <row r="13" spans="1:5">
      <c r="A13" s="22">
        <v>12</v>
      </c>
      <c r="B13" s="23">
        <v>0</v>
      </c>
      <c r="C13" s="25">
        <v>50303.35</v>
      </c>
      <c r="D13" s="26"/>
      <c r="E13" s="21"/>
    </row>
    <row r="14" spans="1:5">
      <c r="A14" s="22"/>
      <c r="B14" s="23">
        <f>SUM(B2:B13)</f>
        <v>402199.89999999997</v>
      </c>
      <c r="C14" s="24">
        <f>SUM(C2:C13)</f>
        <v>558506.43999999994</v>
      </c>
      <c r="D14" s="26"/>
      <c r="E14" s="21"/>
    </row>
    <row r="15" spans="1:5">
      <c r="B15" s="21"/>
      <c r="C15" s="21"/>
      <c r="D15" s="21"/>
      <c r="E15" s="21"/>
    </row>
    <row r="16" spans="1:5">
      <c r="A16" t="s">
        <v>119</v>
      </c>
      <c r="B16" s="21"/>
      <c r="C16" s="21"/>
      <c r="D16" s="21"/>
      <c r="E16" s="21"/>
    </row>
    <row r="17" spans="1:5">
      <c r="A17" t="s">
        <v>101</v>
      </c>
      <c r="B17" s="21"/>
      <c r="C17" s="21"/>
      <c r="D17" s="21"/>
      <c r="E17" s="21"/>
    </row>
    <row r="18" spans="1:5">
      <c r="A18" t="s">
        <v>102</v>
      </c>
      <c r="B18" s="21"/>
      <c r="C18" s="21"/>
      <c r="D18" s="21"/>
      <c r="E18" s="21"/>
    </row>
    <row r="19" spans="1:5">
      <c r="A19" t="s">
        <v>103</v>
      </c>
      <c r="B19" s="21"/>
      <c r="C19" s="21"/>
      <c r="D19" s="21"/>
      <c r="E19" s="21"/>
    </row>
    <row r="21" spans="1:5">
      <c r="A21" t="s">
        <v>104</v>
      </c>
    </row>
    <row r="22" spans="1:5">
      <c r="A22" t="s">
        <v>105</v>
      </c>
      <c r="C22" t="s">
        <v>109</v>
      </c>
    </row>
    <row r="23" spans="1:5">
      <c r="A23" t="s">
        <v>106</v>
      </c>
      <c r="C23" t="s">
        <v>109</v>
      </c>
    </row>
    <row r="24" spans="1:5">
      <c r="A24" t="s">
        <v>107</v>
      </c>
      <c r="C24" t="s">
        <v>108</v>
      </c>
      <c r="D24" t="s">
        <v>110</v>
      </c>
    </row>
    <row r="25" spans="1:5">
      <c r="A25" t="s">
        <v>111</v>
      </c>
      <c r="C25" t="s">
        <v>112</v>
      </c>
      <c r="D25" t="s">
        <v>113</v>
      </c>
    </row>
    <row r="28" spans="1:5">
      <c r="A28" t="s">
        <v>114</v>
      </c>
    </row>
    <row r="30" spans="1:5">
      <c r="A30" t="s">
        <v>115</v>
      </c>
    </row>
    <row r="31" spans="1:5">
      <c r="A31" t="s">
        <v>116</v>
      </c>
    </row>
    <row r="34" spans="1:1">
      <c r="A34" t="s">
        <v>117</v>
      </c>
    </row>
    <row r="36" spans="1:1">
      <c r="A36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9</vt:lpstr>
      <vt:lpstr>10</vt:lpstr>
      <vt:lpstr>11</vt:lpstr>
      <vt:lpstr>12</vt:lpstr>
      <vt:lpstr>15</vt:lpstr>
      <vt:lpstr>16</vt:lpstr>
      <vt:lpstr>17</vt:lpstr>
      <vt:lpstr>18</vt:lpstr>
      <vt:lpstr>19</vt:lpstr>
      <vt:lpstr>22</vt:lpstr>
      <vt:lpstr>23</vt:lpstr>
      <vt:lpstr>26</vt:lpstr>
      <vt:lpstr>29</vt:lpstr>
      <vt:lpstr>30</vt:lpstr>
      <vt:lpstr>TOTAL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Particular</cp:lastModifiedBy>
  <cp:lastPrinted>2015-02-26T14:07:33Z</cp:lastPrinted>
  <dcterms:created xsi:type="dcterms:W3CDTF">2014-07-29T17:36:41Z</dcterms:created>
  <dcterms:modified xsi:type="dcterms:W3CDTF">2015-02-26T14:10:31Z</dcterms:modified>
</cp:coreProperties>
</file>