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5480" windowHeight="7935" tabRatio="794" activeTab="21"/>
  </bookViews>
  <sheets>
    <sheet name="2" sheetId="21" r:id="rId1"/>
    <sheet name="5" sheetId="18" r:id="rId2"/>
    <sheet name="6" sheetId="17" r:id="rId3"/>
    <sheet name="7" sheetId="16" r:id="rId4"/>
    <sheet name="8" sheetId="15" r:id="rId5"/>
    <sheet name="9" sheetId="22" r:id="rId6"/>
    <sheet name="12" sheetId="28" r:id="rId7"/>
    <sheet name="13" sheetId="29" r:id="rId8"/>
    <sheet name="14" sheetId="30" r:id="rId9"/>
    <sheet name="15" sheetId="31" r:id="rId10"/>
    <sheet name="16" sheetId="32" r:id="rId11"/>
    <sheet name="19" sheetId="35" r:id="rId12"/>
    <sheet name="20" sheetId="36" r:id="rId13"/>
    <sheet name="21" sheetId="37" r:id="rId14"/>
    <sheet name="22" sheetId="38" r:id="rId15"/>
    <sheet name="23" sheetId="39" r:id="rId16"/>
    <sheet name="26" sheetId="42" r:id="rId17"/>
    <sheet name="27" sheetId="43" r:id="rId18"/>
    <sheet name="28" sheetId="44" r:id="rId19"/>
    <sheet name="29" sheetId="45" r:id="rId20"/>
    <sheet name="30" sheetId="46" r:id="rId21"/>
    <sheet name="TOTAL" sheetId="47" r:id="rId22"/>
  </sheets>
  <calcPr calcId="124519"/>
</workbook>
</file>

<file path=xl/calcChain.xml><?xml version="1.0" encoding="utf-8"?>
<calcChain xmlns="http://schemas.openxmlformats.org/spreadsheetml/2006/main">
  <c r="E19" i="36"/>
  <c r="E13" i="16"/>
  <c r="E12" i="30"/>
  <c r="E13"/>
  <c r="E14"/>
  <c r="E15"/>
  <c r="E16"/>
  <c r="E17"/>
  <c r="E20" l="1"/>
  <c r="E8" i="21"/>
  <c r="E9"/>
  <c r="E10"/>
  <c r="E11"/>
  <c r="E14"/>
  <c r="D2" i="43"/>
  <c r="D3"/>
  <c r="D4"/>
  <c r="D5"/>
  <c r="D6"/>
  <c r="D12"/>
  <c r="E9"/>
  <c r="E10"/>
  <c r="E11"/>
  <c r="E12"/>
  <c r="E9" i="46"/>
  <c r="E10"/>
  <c r="E11"/>
  <c r="E12"/>
  <c r="E13"/>
  <c r="E15"/>
  <c r="C22" i="47"/>
  <c r="D2" i="46"/>
  <c r="D3"/>
  <c r="D4"/>
  <c r="D5"/>
  <c r="D6"/>
  <c r="D7"/>
  <c r="D8"/>
  <c r="D15"/>
  <c r="B22" i="47"/>
  <c r="E9" i="45"/>
  <c r="E10"/>
  <c r="E11"/>
  <c r="E12"/>
  <c r="C21" i="47"/>
  <c r="D2" i="45"/>
  <c r="D3"/>
  <c r="D4"/>
  <c r="D5"/>
  <c r="D6"/>
  <c r="D12"/>
  <c r="B21" i="47"/>
  <c r="D22"/>
  <c r="E8" i="44"/>
  <c r="E9"/>
  <c r="E10"/>
  <c r="E11"/>
  <c r="E13"/>
  <c r="C20" i="47"/>
  <c r="D2" i="44"/>
  <c r="D3"/>
  <c r="D4"/>
  <c r="D5"/>
  <c r="D6"/>
  <c r="D7"/>
  <c r="D13"/>
  <c r="B20" i="47"/>
  <c r="C19"/>
  <c r="B19"/>
  <c r="E11" i="42"/>
  <c r="E12"/>
  <c r="E13"/>
  <c r="E15"/>
  <c r="C18" i="47"/>
  <c r="D2" i="42"/>
  <c r="D3"/>
  <c r="D4"/>
  <c r="D5"/>
  <c r="D6"/>
  <c r="D7"/>
  <c r="D15"/>
  <c r="B18" i="47"/>
  <c r="E12" i="39"/>
  <c r="E13"/>
  <c r="E14"/>
  <c r="E15"/>
  <c r="E16"/>
  <c r="E17"/>
  <c r="C17" i="47"/>
  <c r="D2" i="39"/>
  <c r="D3"/>
  <c r="D4"/>
  <c r="D5"/>
  <c r="D6"/>
  <c r="D7"/>
  <c r="D8"/>
  <c r="D9"/>
  <c r="D10"/>
  <c r="D17"/>
  <c r="B17" i="47"/>
  <c r="E8" i="38"/>
  <c r="E9"/>
  <c r="E10"/>
  <c r="E11"/>
  <c r="E12"/>
  <c r="C16" i="47"/>
  <c r="D2" i="38"/>
  <c r="D3"/>
  <c r="D4"/>
  <c r="D5"/>
  <c r="D6"/>
  <c r="D12"/>
  <c r="B16" i="47"/>
  <c r="E9" i="37"/>
  <c r="E10"/>
  <c r="E11"/>
  <c r="E12"/>
  <c r="C15" i="47"/>
  <c r="D2" i="37"/>
  <c r="D3"/>
  <c r="D4"/>
  <c r="D5"/>
  <c r="D6"/>
  <c r="D12"/>
  <c r="B15" i="47"/>
  <c r="E14" i="36"/>
  <c r="E15"/>
  <c r="E17"/>
  <c r="E18"/>
  <c r="E22"/>
  <c r="D2"/>
  <c r="D3"/>
  <c r="D4"/>
  <c r="D5"/>
  <c r="D6"/>
  <c r="D7"/>
  <c r="D8"/>
  <c r="D9"/>
  <c r="D10"/>
  <c r="D11"/>
  <c r="D12"/>
  <c r="D13"/>
  <c r="D22"/>
  <c r="B14" i="47" s="1"/>
  <c r="E8" i="35"/>
  <c r="E9"/>
  <c r="E10"/>
  <c r="E11"/>
  <c r="E14"/>
  <c r="C13" i="47"/>
  <c r="D2" i="35"/>
  <c r="D3"/>
  <c r="D4"/>
  <c r="D5"/>
  <c r="D6"/>
  <c r="D14"/>
  <c r="B13" i="47"/>
  <c r="E8" i="32"/>
  <c r="E9"/>
  <c r="E10"/>
  <c r="E11"/>
  <c r="E12"/>
  <c r="E15"/>
  <c r="C12" i="47"/>
  <c r="D2" i="32"/>
  <c r="D3"/>
  <c r="D4"/>
  <c r="D5"/>
  <c r="D6"/>
  <c r="D7"/>
  <c r="D15"/>
  <c r="B12" i="47"/>
  <c r="E9" i="31"/>
  <c r="E10"/>
  <c r="E11"/>
  <c r="E13"/>
  <c r="C11" i="47"/>
  <c r="D2" i="31"/>
  <c r="D3"/>
  <c r="D4"/>
  <c r="D5"/>
  <c r="D6"/>
  <c r="D13"/>
  <c r="B11" i="47"/>
  <c r="C10"/>
  <c r="D2" i="30"/>
  <c r="D3"/>
  <c r="D4"/>
  <c r="D5"/>
  <c r="D6"/>
  <c r="D7"/>
  <c r="D8"/>
  <c r="D9"/>
  <c r="D10"/>
  <c r="D11"/>
  <c r="D20"/>
  <c r="B10" i="47"/>
  <c r="E10" i="29"/>
  <c r="E11"/>
  <c r="E12"/>
  <c r="E13"/>
  <c r="E14"/>
  <c r="C9" i="47"/>
  <c r="D2" i="29"/>
  <c r="D3"/>
  <c r="D4"/>
  <c r="D5"/>
  <c r="D6"/>
  <c r="D7"/>
  <c r="D14"/>
  <c r="B9" i="47"/>
  <c r="E10" i="28"/>
  <c r="E11"/>
  <c r="E12"/>
  <c r="E13"/>
  <c r="E14"/>
  <c r="E18"/>
  <c r="C8" i="47" s="1"/>
  <c r="D2" i="28"/>
  <c r="D3"/>
  <c r="D4"/>
  <c r="D5"/>
  <c r="D6"/>
  <c r="D7"/>
  <c r="D8"/>
  <c r="D18"/>
  <c r="B8" i="47"/>
  <c r="E16" i="22"/>
  <c r="E19"/>
  <c r="E20"/>
  <c r="E21"/>
  <c r="E22"/>
  <c r="C7" i="47"/>
  <c r="D2" i="22"/>
  <c r="D3"/>
  <c r="D4"/>
  <c r="D5"/>
  <c r="D6"/>
  <c r="D7"/>
  <c r="D8"/>
  <c r="D9"/>
  <c r="D10"/>
  <c r="D11"/>
  <c r="D12"/>
  <c r="D13"/>
  <c r="D14"/>
  <c r="D15"/>
  <c r="D22"/>
  <c r="B7" i="47"/>
  <c r="E9" i="15"/>
  <c r="E11"/>
  <c r="E12"/>
  <c r="E13"/>
  <c r="E14"/>
  <c r="C6" i="47"/>
  <c r="D2" i="15"/>
  <c r="D3"/>
  <c r="D4"/>
  <c r="D5"/>
  <c r="D6"/>
  <c r="D7"/>
  <c r="D8"/>
  <c r="D14"/>
  <c r="B6" i="47"/>
  <c r="E11" i="16"/>
  <c r="E12"/>
  <c r="E15"/>
  <c r="C5" i="47" s="1"/>
  <c r="D2" i="16"/>
  <c r="D3"/>
  <c r="D4"/>
  <c r="D5"/>
  <c r="D6"/>
  <c r="D7"/>
  <c r="D10"/>
  <c r="D15"/>
  <c r="B5" i="47" s="1"/>
  <c r="E7" i="18"/>
  <c r="E8"/>
  <c r="E9"/>
  <c r="E10"/>
  <c r="E13"/>
  <c r="C4" i="47"/>
  <c r="D4" s="1"/>
  <c r="D2" i="18"/>
  <c r="D3"/>
  <c r="D4"/>
  <c r="D5"/>
  <c r="D6"/>
  <c r="D13"/>
  <c r="B4" i="47"/>
  <c r="C3"/>
  <c r="B3"/>
  <c r="D3"/>
  <c r="D6"/>
  <c r="D7"/>
  <c r="D9"/>
  <c r="D10"/>
  <c r="D11"/>
  <c r="D12"/>
  <c r="D13"/>
  <c r="D15"/>
  <c r="D16"/>
  <c r="D17"/>
  <c r="D18"/>
  <c r="D19"/>
  <c r="D20"/>
  <c r="D21"/>
  <c r="D2" i="21"/>
  <c r="D3"/>
  <c r="D4"/>
  <c r="D5"/>
  <c r="D6"/>
  <c r="D14"/>
  <c r="B2" i="47"/>
  <c r="C2"/>
  <c r="D2"/>
  <c r="F15" i="46"/>
  <c r="F12" i="45"/>
  <c r="F13" i="44"/>
  <c r="F12" i="43"/>
  <c r="F15" i="42"/>
  <c r="F17" i="39"/>
  <c r="F12" i="38"/>
  <c r="F12" i="37"/>
  <c r="F14" i="35"/>
  <c r="F15" i="32"/>
  <c r="F13" i="31"/>
  <c r="F20" i="30"/>
  <c r="F14" i="29"/>
  <c r="F22" i="22"/>
  <c r="F14" i="15"/>
  <c r="D2" i="17"/>
  <c r="D3"/>
  <c r="D4"/>
  <c r="D5"/>
  <c r="D6"/>
  <c r="D7"/>
  <c r="D8"/>
  <c r="D9"/>
  <c r="D10"/>
  <c r="D17"/>
  <c r="E11"/>
  <c r="E14"/>
  <c r="E15"/>
  <c r="E16"/>
  <c r="E17"/>
  <c r="F17"/>
  <c r="F13" i="18"/>
  <c r="F14" i="21"/>
  <c r="F18" i="28" l="1"/>
  <c r="D8" i="47"/>
  <c r="C14"/>
  <c r="D14" s="1"/>
  <c r="F22" i="36"/>
  <c r="C23" i="47"/>
  <c r="D5"/>
  <c r="B23"/>
  <c r="F15" i="16"/>
  <c r="D23" i="47" l="1"/>
</calcChain>
</file>

<file path=xl/sharedStrings.xml><?xml version="1.0" encoding="utf-8"?>
<sst xmlns="http://schemas.openxmlformats.org/spreadsheetml/2006/main" count="509" uniqueCount="114">
  <si>
    <t>Data</t>
  </si>
  <si>
    <t>Identificação</t>
  </si>
  <si>
    <t>Histórico</t>
  </si>
  <si>
    <t>Receita</t>
  </si>
  <si>
    <t>Despesa</t>
  </si>
  <si>
    <t>Receita-Despesa</t>
  </si>
  <si>
    <t>Procuração</t>
  </si>
  <si>
    <t>Certidão</t>
  </si>
  <si>
    <t>Rec.firmas</t>
  </si>
  <si>
    <t>Autenticações</t>
  </si>
  <si>
    <t>Cartões</t>
  </si>
  <si>
    <t>Recivil Procurações</t>
  </si>
  <si>
    <t>Recivil Certidão</t>
  </si>
  <si>
    <t>Recivil de Rec. Firma</t>
  </si>
  <si>
    <t>Recivil de Autenticações</t>
  </si>
  <si>
    <t>Recivil de Cartões</t>
  </si>
  <si>
    <t>Refeição</t>
  </si>
  <si>
    <t>Contador</t>
  </si>
  <si>
    <t>Mensalidade</t>
  </si>
  <si>
    <t>CORREIOS</t>
  </si>
  <si>
    <t>COPASA</t>
  </si>
  <si>
    <t>CEMIG</t>
  </si>
  <si>
    <t>Gráfica</t>
  </si>
  <si>
    <t>Oi fixo</t>
  </si>
  <si>
    <t>Oi celular</t>
  </si>
  <si>
    <t>Salários</t>
  </si>
  <si>
    <t>Aluguel</t>
  </si>
  <si>
    <t>TOTAL</t>
  </si>
  <si>
    <t>L. 65-P Fl. 08</t>
  </si>
  <si>
    <t>L. 65-P Fl. 09</t>
  </si>
  <si>
    <t>L. 65-P Fl. 10</t>
  </si>
  <si>
    <t>L. 65-P Fl. 11</t>
  </si>
  <si>
    <t>L. 65-P Fl. 12</t>
  </si>
  <si>
    <t>L. 65-P Fl. 13</t>
  </si>
  <si>
    <t>L. 65-P Fl. 14</t>
  </si>
  <si>
    <t>L. 65-P Fl. 15</t>
  </si>
  <si>
    <t>L. 65-P Fl. 16</t>
  </si>
  <si>
    <t>L. 65-P Fl. 17</t>
  </si>
  <si>
    <t>L. 65-P Fl. 18</t>
  </si>
  <si>
    <t>L. 65-P Fl. 19</t>
  </si>
  <si>
    <t>L. 65-P Fl. 20</t>
  </si>
  <si>
    <t>L. 65-P Fl. 21</t>
  </si>
  <si>
    <t>L. 65-P Fl. 22</t>
  </si>
  <si>
    <t>L. 65-P Fl. 23</t>
  </si>
  <si>
    <t>L. 65-P Fl. 24</t>
  </si>
  <si>
    <t>L. 65-P Fl. 25</t>
  </si>
  <si>
    <t>L. 65-P Fl. 26</t>
  </si>
  <si>
    <t>L. 65-P Fl. 27</t>
  </si>
  <si>
    <t>L. 65-P Fl. 28</t>
  </si>
  <si>
    <t>L. 65-P Fl. 29</t>
  </si>
  <si>
    <t>L. 65-P Fl. 30</t>
  </si>
  <si>
    <t>L. 65-P Fl. 31</t>
  </si>
  <si>
    <t>L. 65-P Fl. 32</t>
  </si>
  <si>
    <t>L. 65-P Fl. 33</t>
  </si>
  <si>
    <t>L. 65-P Fl. 34</t>
  </si>
  <si>
    <t>L. 65-P Fl. 35</t>
  </si>
  <si>
    <t>L. 65-P Fl. 36</t>
  </si>
  <si>
    <t>L. 65-P Fl. 37</t>
  </si>
  <si>
    <t>L. 65-P Fl. 38</t>
  </si>
  <si>
    <t>L. 65-P Fl. 39</t>
  </si>
  <si>
    <t>L. 65-P Fl. 40</t>
  </si>
  <si>
    <t>L. 65-P Fl. 41</t>
  </si>
  <si>
    <t>L. 65-P Fl. 42</t>
  </si>
  <si>
    <t>L. 65-P Fl. 43</t>
  </si>
  <si>
    <t>L. 65-P Fl. 44</t>
  </si>
  <si>
    <t>L. 65-P Fl. 45</t>
  </si>
  <si>
    <t>L. 65-P Fl. 46</t>
  </si>
  <si>
    <t>L. 65-P Fl. 47</t>
  </si>
  <si>
    <t>L. 65-P Fl. 48</t>
  </si>
  <si>
    <t>L. 65-P Fl. 49</t>
  </si>
  <si>
    <t>L. 65-P Fl. 50</t>
  </si>
  <si>
    <t>Escritura</t>
  </si>
  <si>
    <t>L. 157-N Fls 190/191</t>
  </si>
  <si>
    <t>L. 157-N Fls 192</t>
  </si>
  <si>
    <t>L. 157-N Fls 193/195</t>
  </si>
  <si>
    <t>L. 157-N Fls 196</t>
  </si>
  <si>
    <t>L. 157-N Fls 197</t>
  </si>
  <si>
    <t>L. 157-N Fls 198</t>
  </si>
  <si>
    <t>L. 157-N Fls 199</t>
  </si>
  <si>
    <t>L. 157-N Fls 200</t>
  </si>
  <si>
    <t>L. 158-N Fls 01</t>
  </si>
  <si>
    <t>L. 158-N Fls 02</t>
  </si>
  <si>
    <t>L. 158-N Fls 03</t>
  </si>
  <si>
    <t>L. 158-N Fls 04</t>
  </si>
  <si>
    <t>L. 158-N Fls 05</t>
  </si>
  <si>
    <t>L. 158-N Fls 06</t>
  </si>
  <si>
    <t>L. 158-N Fls 07</t>
  </si>
  <si>
    <t>L. 158-N Fls 08</t>
  </si>
  <si>
    <t>L. 158-N Fls 09</t>
  </si>
  <si>
    <t>L. 158-N Fls 10/16</t>
  </si>
  <si>
    <t>L. 158-N Fls 17</t>
  </si>
  <si>
    <t>L. 158-N Fls 18</t>
  </si>
  <si>
    <t>L. 158-N Fls 20</t>
  </si>
  <si>
    <t>L. 158-N Fls 21</t>
  </si>
  <si>
    <t>L. 158-N Fls 22/24</t>
  </si>
  <si>
    <t>L. 158-N Fls 25</t>
  </si>
  <si>
    <t>L. 158-N Fls 26/27</t>
  </si>
  <si>
    <t>L. 158-N Fls 19</t>
  </si>
  <si>
    <t>Recivil Escrituras</t>
  </si>
  <si>
    <t>OI CHIP SIM CARD</t>
  </si>
  <si>
    <t>Casa Fidelis</t>
  </si>
  <si>
    <t>Fidelis</t>
  </si>
  <si>
    <t>BD Util</t>
  </si>
  <si>
    <t>n.f. 0000119</t>
  </si>
  <si>
    <t>bens de pequeno valor</t>
  </si>
  <si>
    <t>impressora n.f. 0086087</t>
  </si>
  <si>
    <t>LANCHES</t>
  </si>
  <si>
    <t xml:space="preserve"> </t>
  </si>
  <si>
    <t xml:space="preserve">                                                     </t>
  </si>
  <si>
    <t>FGTS</t>
  </si>
  <si>
    <t>INSS</t>
  </si>
  <si>
    <t>GPS</t>
  </si>
  <si>
    <t>DARF</t>
  </si>
  <si>
    <t>ISS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</si>
</sst>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43" fontId="3" fillId="0" borderId="3" xfId="1" applyFont="1" applyBorder="1" applyAlignment="1">
      <alignment horizontal="right" vertical="top" wrapText="1"/>
    </xf>
    <xf numFmtId="43" fontId="4" fillId="0" borderId="3" xfId="1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43" fontId="1" fillId="0" borderId="2" xfId="1" applyFont="1" applyBorder="1"/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3" fontId="5" fillId="0" borderId="2" xfId="0" applyNumberFormat="1" applyFont="1" applyBorder="1"/>
    <xf numFmtId="14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horizontal="right" vertical="top" wrapText="1"/>
    </xf>
    <xf numFmtId="43" fontId="1" fillId="0" borderId="4" xfId="1" applyFont="1" applyBorder="1"/>
  </cellXfs>
  <cellStyles count="2">
    <cellStyle name="Normal" xfId="0" builtinId="0"/>
    <cellStyle name="Separador de milhare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9"/>
  <dimension ref="A1:F14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41761</v>
      </c>
      <c r="B2" s="7" t="s">
        <v>6</v>
      </c>
      <c r="C2" s="7" t="s">
        <v>28</v>
      </c>
      <c r="D2" s="3">
        <f>71.43+4.29</f>
        <v>75.720000000000013</v>
      </c>
      <c r="E2" s="3"/>
      <c r="F2" s="8"/>
    </row>
    <row r="3" spans="1:6" ht="15" customHeight="1">
      <c r="A3" s="2">
        <v>41761</v>
      </c>
      <c r="B3" s="7" t="s">
        <v>71</v>
      </c>
      <c r="C3" s="12" t="s">
        <v>72</v>
      </c>
      <c r="D3" s="3">
        <f>4003.94+239.76</f>
        <v>4243.7</v>
      </c>
      <c r="E3" s="3"/>
      <c r="F3" s="8"/>
    </row>
    <row r="4" spans="1:6" ht="15" customHeight="1">
      <c r="A4" s="2">
        <v>41761</v>
      </c>
      <c r="B4" s="7" t="s">
        <v>8</v>
      </c>
      <c r="C4" s="7">
        <v>91</v>
      </c>
      <c r="D4" s="3">
        <f>C4*(3.68+0.22)</f>
        <v>354.90000000000003</v>
      </c>
      <c r="E4" s="3"/>
      <c r="F4" s="8"/>
    </row>
    <row r="5" spans="1:6" ht="15" customHeight="1">
      <c r="A5" s="2">
        <v>41761</v>
      </c>
      <c r="B5" s="7" t="s">
        <v>9</v>
      </c>
      <c r="C5" s="7">
        <v>46</v>
      </c>
      <c r="D5" s="3">
        <f>C5*(3.68+0.22)</f>
        <v>179.4</v>
      </c>
      <c r="E5" s="3"/>
      <c r="F5" s="8"/>
    </row>
    <row r="6" spans="1:6" ht="15" customHeight="1">
      <c r="A6" s="2">
        <v>41761</v>
      </c>
      <c r="B6" s="7" t="s">
        <v>10</v>
      </c>
      <c r="C6" s="7">
        <v>10</v>
      </c>
      <c r="D6" s="3">
        <f>C6*(3.68+0.22)</f>
        <v>39</v>
      </c>
      <c r="E6" s="3"/>
      <c r="F6" s="8"/>
    </row>
    <row r="7" spans="1:6" ht="15" customHeight="1">
      <c r="A7" s="2">
        <v>41761</v>
      </c>
      <c r="B7" s="7" t="s">
        <v>11</v>
      </c>
      <c r="C7" s="7"/>
      <c r="D7" s="3"/>
      <c r="E7" s="7">
        <v>4.29</v>
      </c>
      <c r="F7" s="8"/>
    </row>
    <row r="8" spans="1:6" ht="15" customHeight="1">
      <c r="A8" s="2">
        <v>41761</v>
      </c>
      <c r="B8" s="7" t="s">
        <v>98</v>
      </c>
      <c r="C8" s="7"/>
      <c r="D8" s="3"/>
      <c r="E8" s="7">
        <f>239.76</f>
        <v>239.76</v>
      </c>
      <c r="F8" s="8"/>
    </row>
    <row r="9" spans="1:6" ht="15" customHeight="1">
      <c r="A9" s="2">
        <v>41761</v>
      </c>
      <c r="B9" s="7" t="s">
        <v>13</v>
      </c>
      <c r="C9" s="7">
        <v>91</v>
      </c>
      <c r="D9" s="3"/>
      <c r="E9" s="3">
        <f>C9*0.22</f>
        <v>20.02</v>
      </c>
      <c r="F9" s="8"/>
    </row>
    <row r="10" spans="1:6" ht="15" customHeight="1">
      <c r="A10" s="2">
        <v>41761</v>
      </c>
      <c r="B10" s="7" t="s">
        <v>14</v>
      </c>
      <c r="C10" s="7">
        <v>46</v>
      </c>
      <c r="D10" s="3"/>
      <c r="E10" s="3">
        <f t="shared" ref="E10:E11" si="0">C10*0.22</f>
        <v>10.119999999999999</v>
      </c>
      <c r="F10" s="8"/>
    </row>
    <row r="11" spans="1:6" ht="15" customHeight="1">
      <c r="A11" s="2">
        <v>41761</v>
      </c>
      <c r="B11" s="7" t="s">
        <v>15</v>
      </c>
      <c r="C11" s="7">
        <v>10</v>
      </c>
      <c r="D11" s="3"/>
      <c r="E11" s="3">
        <f t="shared" si="0"/>
        <v>2.2000000000000002</v>
      </c>
      <c r="F11" s="8"/>
    </row>
    <row r="12" spans="1:6" ht="15" customHeight="1">
      <c r="A12" s="2">
        <v>41761</v>
      </c>
      <c r="B12" s="7" t="s">
        <v>26</v>
      </c>
      <c r="C12" s="7"/>
      <c r="D12" s="3"/>
      <c r="E12" s="3">
        <v>1000</v>
      </c>
      <c r="F12" s="8"/>
    </row>
    <row r="13" spans="1:6" ht="15" customHeight="1">
      <c r="A13" s="2">
        <v>41761</v>
      </c>
      <c r="B13" s="7" t="s">
        <v>25</v>
      </c>
      <c r="C13" s="7"/>
      <c r="D13" s="3"/>
      <c r="E13" s="3">
        <v>3963.06</v>
      </c>
      <c r="F13" s="8"/>
    </row>
    <row r="14" spans="1:6" ht="15" customHeight="1" thickBot="1">
      <c r="A14" s="4" t="s">
        <v>27</v>
      </c>
      <c r="B14" s="9"/>
      <c r="C14" s="9"/>
      <c r="D14" s="5">
        <f>SUM(D2:D13)</f>
        <v>4892.7199999999993</v>
      </c>
      <c r="E14" s="5">
        <f>SUM(E2:E13)</f>
        <v>5239.45</v>
      </c>
      <c r="F14" s="6">
        <f>D14-E14</f>
        <v>-346.73000000000047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4"/>
  <dimension ref="A1:F13"/>
  <sheetViews>
    <sheetView workbookViewId="0">
      <selection activeCell="A12" sqref="A12:XFD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41774</v>
      </c>
      <c r="B2" s="7" t="s">
        <v>6</v>
      </c>
      <c r="C2" s="7" t="s">
        <v>53</v>
      </c>
      <c r="D2" s="3">
        <f>71.43+4.29</f>
        <v>75.720000000000013</v>
      </c>
      <c r="E2" s="3"/>
      <c r="F2" s="8"/>
    </row>
    <row r="3" spans="1:6" ht="15" customHeight="1">
      <c r="A3" s="2">
        <v>41774</v>
      </c>
      <c r="B3" s="7" t="s">
        <v>71</v>
      </c>
      <c r="C3" s="12" t="s">
        <v>83</v>
      </c>
      <c r="D3" s="3">
        <f>1407.99+84.39</f>
        <v>1492.38</v>
      </c>
      <c r="E3" s="3"/>
      <c r="F3" s="8"/>
    </row>
    <row r="4" spans="1:6" ht="15" customHeight="1">
      <c r="A4" s="2">
        <v>41774</v>
      </c>
      <c r="B4" s="7" t="s">
        <v>8</v>
      </c>
      <c r="C4" s="7">
        <v>140</v>
      </c>
      <c r="D4" s="3">
        <f>C4*(3.68+0.22)</f>
        <v>546</v>
      </c>
      <c r="E4" s="3"/>
      <c r="F4" s="8"/>
    </row>
    <row r="5" spans="1:6" ht="15" customHeight="1">
      <c r="A5" s="2">
        <v>41774</v>
      </c>
      <c r="B5" s="7" t="s">
        <v>9</v>
      </c>
      <c r="C5" s="7">
        <v>124</v>
      </c>
      <c r="D5" s="3">
        <f>C5*(3.68+0.22)</f>
        <v>483.6</v>
      </c>
      <c r="E5" s="3"/>
      <c r="F5" s="8"/>
    </row>
    <row r="6" spans="1:6" ht="15" customHeight="1">
      <c r="A6" s="2">
        <v>41774</v>
      </c>
      <c r="B6" s="7" t="s">
        <v>10</v>
      </c>
      <c r="C6" s="7">
        <v>6</v>
      </c>
      <c r="D6" s="3">
        <f>C6*(3.68+0.22)</f>
        <v>23.400000000000002</v>
      </c>
      <c r="E6" s="3"/>
      <c r="F6" s="8"/>
    </row>
    <row r="7" spans="1:6" ht="15" customHeight="1">
      <c r="A7" s="2">
        <v>41774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41774</v>
      </c>
      <c r="B8" s="7" t="s">
        <v>98</v>
      </c>
      <c r="C8" s="7"/>
      <c r="D8" s="3"/>
      <c r="E8" s="3">
        <v>84.39</v>
      </c>
      <c r="F8" s="8"/>
    </row>
    <row r="9" spans="1:6" ht="15" customHeight="1">
      <c r="A9" s="2">
        <v>41774</v>
      </c>
      <c r="B9" s="7" t="s">
        <v>13</v>
      </c>
      <c r="C9" s="7">
        <v>140</v>
      </c>
      <c r="D9" s="3"/>
      <c r="E9" s="3">
        <f>C9*0.22</f>
        <v>30.8</v>
      </c>
      <c r="F9" s="8"/>
    </row>
    <row r="10" spans="1:6" ht="15" customHeight="1">
      <c r="A10" s="2">
        <v>41774</v>
      </c>
      <c r="B10" s="7" t="s">
        <v>14</v>
      </c>
      <c r="C10" s="7">
        <v>124</v>
      </c>
      <c r="D10" s="3"/>
      <c r="E10" s="3">
        <f t="shared" ref="E10:E11" si="0">C10*0.22</f>
        <v>27.28</v>
      </c>
      <c r="F10" s="8"/>
    </row>
    <row r="11" spans="1:6" ht="15" customHeight="1">
      <c r="A11" s="2">
        <v>41774</v>
      </c>
      <c r="B11" s="7" t="s">
        <v>15</v>
      </c>
      <c r="C11" s="7">
        <v>6</v>
      </c>
      <c r="D11" s="3"/>
      <c r="E11" s="3">
        <f t="shared" si="0"/>
        <v>1.32</v>
      </c>
      <c r="F11" s="8"/>
    </row>
    <row r="12" spans="1:6" ht="15" customHeight="1">
      <c r="A12" s="2">
        <v>41774</v>
      </c>
      <c r="B12" s="7" t="s">
        <v>24</v>
      </c>
      <c r="C12" s="7" t="s">
        <v>99</v>
      </c>
      <c r="D12" s="3"/>
      <c r="E12" s="3">
        <v>10</v>
      </c>
      <c r="F12" s="8"/>
    </row>
    <row r="13" spans="1:6" ht="15" customHeight="1" thickBot="1">
      <c r="A13" s="4" t="s">
        <v>27</v>
      </c>
      <c r="B13" s="9"/>
      <c r="C13" s="9"/>
      <c r="D13" s="5">
        <f>SUM(D2:D12)</f>
        <v>2621.1000000000004</v>
      </c>
      <c r="E13" s="5">
        <f>SUM(E2:E12)</f>
        <v>158.07999999999998</v>
      </c>
      <c r="F13" s="6">
        <f>D13-E13</f>
        <v>2463.0200000000004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25"/>
  <dimension ref="A1:F15"/>
  <sheetViews>
    <sheetView workbookViewId="0">
      <selection activeCell="C13" sqref="C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41775</v>
      </c>
      <c r="B2" s="7" t="s">
        <v>6</v>
      </c>
      <c r="C2" s="7" t="s">
        <v>54</v>
      </c>
      <c r="D2" s="3">
        <f>19.43+1.16</f>
        <v>20.59</v>
      </c>
      <c r="E2" s="3"/>
      <c r="F2" s="8"/>
    </row>
    <row r="3" spans="1:6" ht="15" customHeight="1">
      <c r="A3" s="2">
        <v>41775</v>
      </c>
      <c r="B3" s="7" t="s">
        <v>6</v>
      </c>
      <c r="C3" s="7" t="s">
        <v>55</v>
      </c>
      <c r="D3" s="3">
        <f>71.43+4.29</f>
        <v>75.720000000000013</v>
      </c>
      <c r="E3" s="3"/>
      <c r="F3" s="8"/>
    </row>
    <row r="4" spans="1:6" ht="15" customHeight="1">
      <c r="A4" s="2">
        <v>41775</v>
      </c>
      <c r="B4" s="7" t="s">
        <v>7</v>
      </c>
      <c r="C4" s="7">
        <v>2</v>
      </c>
      <c r="D4" s="3">
        <f>(13.05+0.78)*C4</f>
        <v>27.66</v>
      </c>
      <c r="E4" s="3"/>
      <c r="F4" s="8"/>
    </row>
    <row r="5" spans="1:6" ht="15" customHeight="1">
      <c r="A5" s="2">
        <v>41775</v>
      </c>
      <c r="B5" s="7" t="s">
        <v>8</v>
      </c>
      <c r="C5" s="7">
        <v>119</v>
      </c>
      <c r="D5" s="3">
        <f>C5*(3.68+0.22)</f>
        <v>464.1</v>
      </c>
      <c r="E5" s="3"/>
      <c r="F5" s="8"/>
    </row>
    <row r="6" spans="1:6" ht="15" customHeight="1">
      <c r="A6" s="2">
        <v>41775</v>
      </c>
      <c r="B6" s="7" t="s">
        <v>9</v>
      </c>
      <c r="C6" s="7">
        <v>120</v>
      </c>
      <c r="D6" s="3">
        <f>C6*(3.68+0.22)</f>
        <v>468.00000000000006</v>
      </c>
      <c r="E6" s="3"/>
      <c r="F6" s="8"/>
    </row>
    <row r="7" spans="1:6" ht="15" customHeight="1">
      <c r="A7" s="2">
        <v>41775</v>
      </c>
      <c r="B7" s="7" t="s">
        <v>10</v>
      </c>
      <c r="C7" s="7">
        <v>11</v>
      </c>
      <c r="D7" s="3">
        <f>C7*(3.68+0.22)</f>
        <v>42.900000000000006</v>
      </c>
      <c r="E7" s="3"/>
      <c r="F7" s="8"/>
    </row>
    <row r="8" spans="1:6" ht="15" customHeight="1">
      <c r="A8" s="2">
        <v>41775</v>
      </c>
      <c r="B8" s="7" t="s">
        <v>11</v>
      </c>
      <c r="C8" s="7"/>
      <c r="D8" s="3"/>
      <c r="E8" s="3">
        <f>1.16+4.29</f>
        <v>5.45</v>
      </c>
      <c r="F8" s="8"/>
    </row>
    <row r="9" spans="1:6" ht="15" customHeight="1">
      <c r="A9" s="2">
        <v>41775</v>
      </c>
      <c r="B9" s="7" t="s">
        <v>12</v>
      </c>
      <c r="C9" s="7">
        <v>2</v>
      </c>
      <c r="D9" s="3"/>
      <c r="E9" s="3">
        <f>0.78*2</f>
        <v>1.56</v>
      </c>
      <c r="F9" s="8"/>
    </row>
    <row r="10" spans="1:6" ht="15" customHeight="1">
      <c r="A10" s="2">
        <v>41775</v>
      </c>
      <c r="B10" s="7" t="s">
        <v>13</v>
      </c>
      <c r="C10" s="7">
        <v>119</v>
      </c>
      <c r="D10" s="3"/>
      <c r="E10" s="3">
        <f>C10*0.22</f>
        <v>26.18</v>
      </c>
      <c r="F10" s="8"/>
    </row>
    <row r="11" spans="1:6" ht="15" customHeight="1">
      <c r="A11" s="2">
        <v>41775</v>
      </c>
      <c r="B11" s="7" t="s">
        <v>14</v>
      </c>
      <c r="C11" s="7">
        <v>120</v>
      </c>
      <c r="D11" s="3"/>
      <c r="E11" s="3">
        <f t="shared" ref="E11:E12" si="0">C11*0.22</f>
        <v>26.4</v>
      </c>
      <c r="F11" s="8"/>
    </row>
    <row r="12" spans="1:6" ht="15" customHeight="1">
      <c r="A12" s="2">
        <v>41775</v>
      </c>
      <c r="B12" s="7" t="s">
        <v>15</v>
      </c>
      <c r="C12" s="7">
        <v>11</v>
      </c>
      <c r="D12" s="3"/>
      <c r="E12" s="3">
        <f t="shared" si="0"/>
        <v>2.42</v>
      </c>
      <c r="F12" s="8"/>
    </row>
    <row r="13" spans="1:6" ht="15" customHeight="1">
      <c r="A13" s="2">
        <v>41775</v>
      </c>
      <c r="B13" s="7" t="s">
        <v>16</v>
      </c>
      <c r="C13" s="7" t="s">
        <v>100</v>
      </c>
      <c r="D13" s="3"/>
      <c r="E13" s="3">
        <v>5.4</v>
      </c>
      <c r="F13" s="8"/>
    </row>
    <row r="14" spans="1:6" ht="15" customHeight="1">
      <c r="A14" s="2">
        <v>41775</v>
      </c>
      <c r="B14" s="7" t="s">
        <v>19</v>
      </c>
      <c r="C14" s="7"/>
      <c r="D14" s="3"/>
      <c r="E14" s="3">
        <v>20.5</v>
      </c>
      <c r="F14" s="8"/>
    </row>
    <row r="15" spans="1:6" ht="15" customHeight="1" thickBot="1">
      <c r="A15" s="4" t="s">
        <v>27</v>
      </c>
      <c r="B15" s="9"/>
      <c r="C15" s="9"/>
      <c r="D15" s="5">
        <f>SUM(D2:D14)</f>
        <v>1098.9700000000003</v>
      </c>
      <c r="E15" s="5">
        <f>SUM(E2:E14)</f>
        <v>87.91</v>
      </c>
      <c r="F15" s="6">
        <f>D15-E15</f>
        <v>1011.0600000000003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28"/>
  <dimension ref="A1:F14"/>
  <sheetViews>
    <sheetView workbookViewId="0">
      <selection activeCell="B12" sqref="B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41778</v>
      </c>
      <c r="B2" s="7" t="s">
        <v>6</v>
      </c>
      <c r="C2" s="7" t="s">
        <v>56</v>
      </c>
      <c r="D2" s="3">
        <f>71.43+4.29</f>
        <v>75.720000000000013</v>
      </c>
      <c r="E2" s="3"/>
      <c r="F2" s="8"/>
    </row>
    <row r="3" spans="1:6" ht="15" customHeight="1">
      <c r="A3" s="2">
        <v>41778</v>
      </c>
      <c r="B3" s="7" t="s">
        <v>7</v>
      </c>
      <c r="C3" s="7">
        <v>2</v>
      </c>
      <c r="D3" s="3">
        <f>(13.05+0.78)*C3</f>
        <v>27.66</v>
      </c>
      <c r="E3" s="3"/>
      <c r="F3" s="8"/>
    </row>
    <row r="4" spans="1:6" ht="15" customHeight="1">
      <c r="A4" s="2">
        <v>41778</v>
      </c>
      <c r="B4" s="7" t="s">
        <v>8</v>
      </c>
      <c r="C4" s="7">
        <v>142</v>
      </c>
      <c r="D4" s="3">
        <f>C4*(3.68+0.22)</f>
        <v>553.80000000000007</v>
      </c>
      <c r="E4" s="3"/>
      <c r="F4" s="8"/>
    </row>
    <row r="5" spans="1:6" ht="15" customHeight="1">
      <c r="A5" s="2">
        <v>41778</v>
      </c>
      <c r="B5" s="7" t="s">
        <v>9</v>
      </c>
      <c r="C5" s="7">
        <v>113</v>
      </c>
      <c r="D5" s="3">
        <f>C5*(3.68+0.22)</f>
        <v>440.70000000000005</v>
      </c>
      <c r="E5" s="3"/>
      <c r="F5" s="8"/>
    </row>
    <row r="6" spans="1:6" ht="15" customHeight="1">
      <c r="A6" s="2">
        <v>41778</v>
      </c>
      <c r="B6" s="7" t="s">
        <v>10</v>
      </c>
      <c r="C6" s="7">
        <v>9</v>
      </c>
      <c r="D6" s="3">
        <f>C6*(3.68+0.22)</f>
        <v>35.1</v>
      </c>
      <c r="E6" s="3"/>
      <c r="F6" s="8"/>
    </row>
    <row r="7" spans="1:6" ht="15" customHeight="1">
      <c r="A7" s="2">
        <v>41778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41778</v>
      </c>
      <c r="B8" s="7" t="s">
        <v>12</v>
      </c>
      <c r="C8" s="7">
        <v>2</v>
      </c>
      <c r="D8" s="3"/>
      <c r="E8" s="3">
        <f>0.78*2</f>
        <v>1.56</v>
      </c>
      <c r="F8" s="8"/>
    </row>
    <row r="9" spans="1:6" ht="15" customHeight="1">
      <c r="A9" s="2">
        <v>41778</v>
      </c>
      <c r="B9" s="7" t="s">
        <v>13</v>
      </c>
      <c r="C9" s="7">
        <v>142</v>
      </c>
      <c r="D9" s="3"/>
      <c r="E9" s="3">
        <f>C9*0.22</f>
        <v>31.24</v>
      </c>
      <c r="F9" s="8"/>
    </row>
    <row r="10" spans="1:6" ht="15" customHeight="1">
      <c r="A10" s="2">
        <v>41778</v>
      </c>
      <c r="B10" s="7" t="s">
        <v>14</v>
      </c>
      <c r="C10" s="7">
        <v>113</v>
      </c>
      <c r="D10" s="3"/>
      <c r="E10" s="3">
        <f t="shared" ref="E10:E11" si="0">C10*0.22</f>
        <v>24.86</v>
      </c>
      <c r="F10" s="8"/>
    </row>
    <row r="11" spans="1:6" ht="15" customHeight="1">
      <c r="A11" s="2">
        <v>41778</v>
      </c>
      <c r="B11" s="7" t="s">
        <v>15</v>
      </c>
      <c r="C11" s="7">
        <v>9</v>
      </c>
      <c r="D11" s="3"/>
      <c r="E11" s="3">
        <f t="shared" si="0"/>
        <v>1.98</v>
      </c>
      <c r="F11" s="8"/>
    </row>
    <row r="12" spans="1:6" ht="15" customHeight="1">
      <c r="A12" s="2">
        <v>41778</v>
      </c>
      <c r="B12" s="7" t="s">
        <v>21</v>
      </c>
      <c r="C12" s="7"/>
      <c r="D12" s="3"/>
      <c r="E12" s="3">
        <v>105.68</v>
      </c>
      <c r="F12" s="8"/>
    </row>
    <row r="13" spans="1:6" ht="15" customHeight="1">
      <c r="A13" s="2">
        <v>41778</v>
      </c>
      <c r="B13" s="7" t="s">
        <v>22</v>
      </c>
      <c r="C13" s="7" t="s">
        <v>103</v>
      </c>
      <c r="D13" s="3"/>
      <c r="E13" s="3">
        <v>365.7</v>
      </c>
      <c r="F13" s="8"/>
    </row>
    <row r="14" spans="1:6" ht="15" customHeight="1" thickBot="1">
      <c r="A14" s="4" t="s">
        <v>27</v>
      </c>
      <c r="B14" s="9"/>
      <c r="C14" s="9"/>
      <c r="D14" s="5">
        <f>SUM(D2:D13)</f>
        <v>1132.98</v>
      </c>
      <c r="E14" s="5">
        <f>SUM(E2:E13)</f>
        <v>535.30999999999995</v>
      </c>
      <c r="F14" s="6">
        <f>D14-E14</f>
        <v>597.67000000000007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29"/>
  <dimension ref="A1:F22"/>
  <sheetViews>
    <sheetView topLeftCell="A7" workbookViewId="0">
      <selection activeCell="B22" sqref="B2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41779</v>
      </c>
      <c r="B2" s="7" t="s">
        <v>6</v>
      </c>
      <c r="C2" s="7" t="s">
        <v>57</v>
      </c>
      <c r="D2" s="3">
        <f>71.43+4.29</f>
        <v>75.720000000000013</v>
      </c>
      <c r="E2" s="3"/>
      <c r="F2" s="8"/>
    </row>
    <row r="3" spans="1:6" ht="15" customHeight="1">
      <c r="A3" s="2">
        <v>41779</v>
      </c>
      <c r="B3" s="7" t="s">
        <v>6</v>
      </c>
      <c r="C3" s="7" t="s">
        <v>58</v>
      </c>
      <c r="D3" s="3">
        <f>71.43+4.29</f>
        <v>75.720000000000013</v>
      </c>
      <c r="E3" s="3"/>
      <c r="F3" s="8"/>
    </row>
    <row r="4" spans="1:6" ht="15" customHeight="1">
      <c r="A4" s="2">
        <v>41779</v>
      </c>
      <c r="B4" s="7" t="s">
        <v>6</v>
      </c>
      <c r="C4" s="7" t="s">
        <v>59</v>
      </c>
      <c r="D4" s="3">
        <f>71.43+4.29</f>
        <v>75.720000000000013</v>
      </c>
      <c r="E4" s="3"/>
      <c r="F4" s="8"/>
    </row>
    <row r="5" spans="1:6" ht="15" customHeight="1">
      <c r="A5" s="2">
        <v>41779</v>
      </c>
      <c r="B5" s="7" t="s">
        <v>6</v>
      </c>
      <c r="C5" s="7" t="s">
        <v>60</v>
      </c>
      <c r="D5" s="3">
        <f>71.43+4.29</f>
        <v>75.720000000000013</v>
      </c>
      <c r="E5" s="3"/>
      <c r="F5" s="8"/>
    </row>
    <row r="6" spans="1:6" ht="15" customHeight="1">
      <c r="A6" s="2">
        <v>41779</v>
      </c>
      <c r="B6" s="7" t="s">
        <v>71</v>
      </c>
      <c r="C6" s="12" t="s">
        <v>84</v>
      </c>
      <c r="D6" s="3">
        <f>32.64+1.95</f>
        <v>34.590000000000003</v>
      </c>
      <c r="E6" s="3"/>
      <c r="F6" s="8"/>
    </row>
    <row r="7" spans="1:6" ht="15" customHeight="1">
      <c r="A7" s="2">
        <v>41779</v>
      </c>
      <c r="B7" s="7" t="s">
        <v>71</v>
      </c>
      <c r="C7" s="12" t="s">
        <v>85</v>
      </c>
      <c r="D7" s="3">
        <f>1005.39+60.23</f>
        <v>1065.6199999999999</v>
      </c>
      <c r="E7" s="3"/>
      <c r="F7" s="8"/>
    </row>
    <row r="8" spans="1:6" ht="15" customHeight="1">
      <c r="A8" s="2">
        <v>41779</v>
      </c>
      <c r="B8" s="7" t="s">
        <v>71</v>
      </c>
      <c r="C8" s="12" t="s">
        <v>86</v>
      </c>
      <c r="D8" s="3">
        <f>473.83+28.35</f>
        <v>502.18</v>
      </c>
      <c r="E8" s="3"/>
      <c r="F8" s="8"/>
    </row>
    <row r="9" spans="1:6" ht="15" customHeight="1">
      <c r="A9" s="2">
        <v>41779</v>
      </c>
      <c r="B9" s="7" t="s">
        <v>71</v>
      </c>
      <c r="C9" s="12" t="s">
        <v>87</v>
      </c>
      <c r="D9" s="3">
        <f>689.84+41.3</f>
        <v>731.14</v>
      </c>
      <c r="E9" s="3"/>
      <c r="F9" s="8"/>
    </row>
    <row r="10" spans="1:6" ht="15" customHeight="1">
      <c r="A10" s="2">
        <v>41779</v>
      </c>
      <c r="B10" s="7" t="s">
        <v>7</v>
      </c>
      <c r="C10" s="7">
        <v>1</v>
      </c>
      <c r="D10" s="3">
        <f>22.82+1.37</f>
        <v>24.19</v>
      </c>
      <c r="E10" s="3"/>
      <c r="F10" s="8"/>
    </row>
    <row r="11" spans="1:6" ht="15" customHeight="1">
      <c r="A11" s="2">
        <v>41779</v>
      </c>
      <c r="B11" s="7" t="s">
        <v>8</v>
      </c>
      <c r="C11" s="7">
        <v>144</v>
      </c>
      <c r="D11" s="3">
        <f>C11*(3.68+0.22)</f>
        <v>561.6</v>
      </c>
      <c r="E11" s="3"/>
      <c r="F11" s="8"/>
    </row>
    <row r="12" spans="1:6" ht="15" customHeight="1">
      <c r="A12" s="2">
        <v>41779</v>
      </c>
      <c r="B12" s="7" t="s">
        <v>9</v>
      </c>
      <c r="C12" s="7">
        <v>154</v>
      </c>
      <c r="D12" s="3">
        <f>C12*(3.68+0.22)</f>
        <v>600.6</v>
      </c>
      <c r="E12" s="3"/>
      <c r="F12" s="8"/>
    </row>
    <row r="13" spans="1:6" ht="15" customHeight="1">
      <c r="A13" s="2">
        <v>41779</v>
      </c>
      <c r="B13" s="7" t="s">
        <v>10</v>
      </c>
      <c r="C13" s="7">
        <v>10</v>
      </c>
      <c r="D13" s="3">
        <f>C13*(3.68+0.22)</f>
        <v>39</v>
      </c>
      <c r="E13" s="3"/>
      <c r="F13" s="8"/>
    </row>
    <row r="14" spans="1:6" ht="15" customHeight="1">
      <c r="A14" s="2">
        <v>41779</v>
      </c>
      <c r="B14" s="7" t="s">
        <v>11</v>
      </c>
      <c r="C14" s="7"/>
      <c r="D14" s="3"/>
      <c r="E14" s="3">
        <f>4.29*4</f>
        <v>17.16</v>
      </c>
      <c r="F14" s="8"/>
    </row>
    <row r="15" spans="1:6" ht="15" customHeight="1">
      <c r="A15" s="2">
        <v>41779</v>
      </c>
      <c r="B15" s="7" t="s">
        <v>98</v>
      </c>
      <c r="C15" s="7"/>
      <c r="D15" s="3"/>
      <c r="E15" s="3">
        <f>1.95+60.23+28.35+41.3</f>
        <v>131.82999999999998</v>
      </c>
      <c r="F15" s="8"/>
    </row>
    <row r="16" spans="1:6" ht="15" customHeight="1">
      <c r="A16" s="2">
        <v>41779</v>
      </c>
      <c r="B16" s="7" t="s">
        <v>12</v>
      </c>
      <c r="C16" s="7">
        <v>1</v>
      </c>
      <c r="E16" s="3">
        <v>1.37</v>
      </c>
      <c r="F16" s="8"/>
    </row>
    <row r="17" spans="1:6" ht="15" customHeight="1">
      <c r="A17" s="2">
        <v>41779</v>
      </c>
      <c r="B17" s="7" t="s">
        <v>13</v>
      </c>
      <c r="C17" s="7">
        <v>144</v>
      </c>
      <c r="D17" s="3"/>
      <c r="E17" s="3">
        <f>C17*0.22</f>
        <v>31.68</v>
      </c>
      <c r="F17" s="8"/>
    </row>
    <row r="18" spans="1:6" ht="15" customHeight="1">
      <c r="A18" s="2">
        <v>41779</v>
      </c>
      <c r="B18" s="7" t="s">
        <v>14</v>
      </c>
      <c r="C18" s="7">
        <v>154</v>
      </c>
      <c r="D18" s="3"/>
      <c r="E18" s="3">
        <f t="shared" ref="E18" si="0">C18*0.22</f>
        <v>33.880000000000003</v>
      </c>
      <c r="F18" s="8"/>
    </row>
    <row r="19" spans="1:6" ht="15" customHeight="1">
      <c r="A19" s="2">
        <v>41779</v>
      </c>
      <c r="B19" s="7" t="s">
        <v>15</v>
      </c>
      <c r="C19" s="7">
        <v>10</v>
      </c>
      <c r="D19" s="3"/>
      <c r="E19" s="3">
        <f t="shared" ref="E19" si="1">C19*0.22</f>
        <v>2.2000000000000002</v>
      </c>
      <c r="F19" s="8"/>
    </row>
    <row r="20" spans="1:6" ht="15" customHeight="1">
      <c r="A20" s="2">
        <v>41779</v>
      </c>
      <c r="B20" s="7" t="s">
        <v>110</v>
      </c>
      <c r="C20" s="7" t="s">
        <v>111</v>
      </c>
      <c r="D20" s="3"/>
      <c r="E20" s="3">
        <v>1137.3599999999999</v>
      </c>
      <c r="F20" s="8"/>
    </row>
    <row r="21" spans="1:6" ht="15" customHeight="1">
      <c r="A21" s="2">
        <v>41779</v>
      </c>
      <c r="B21" s="7" t="s">
        <v>112</v>
      </c>
      <c r="C21" s="7"/>
      <c r="D21" s="3"/>
      <c r="E21" s="3">
        <v>14.16</v>
      </c>
      <c r="F21" s="8"/>
    </row>
    <row r="22" spans="1:6" ht="15" customHeight="1" thickBot="1">
      <c r="A22" s="4" t="s">
        <v>27</v>
      </c>
      <c r="B22" s="9"/>
      <c r="C22" s="9"/>
      <c r="D22" s="5">
        <f>SUM(D2:D21)</f>
        <v>3861.7999999999997</v>
      </c>
      <c r="E22" s="5">
        <f>SUM(E2:E21)</f>
        <v>1369.6399999999999</v>
      </c>
      <c r="F22" s="6">
        <f>D22-E22</f>
        <v>2492.16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30"/>
  <dimension ref="A1:F12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41780</v>
      </c>
      <c r="B2" s="7" t="s">
        <v>6</v>
      </c>
      <c r="C2" s="7" t="s">
        <v>61</v>
      </c>
      <c r="D2" s="3">
        <f>19.43+1.16</f>
        <v>20.59</v>
      </c>
      <c r="E2" s="3"/>
      <c r="F2" s="8"/>
    </row>
    <row r="3" spans="1:6" ht="15" customHeight="1">
      <c r="A3" s="2">
        <v>41780</v>
      </c>
      <c r="B3" s="7" t="s">
        <v>71</v>
      </c>
      <c r="C3" s="12" t="s">
        <v>88</v>
      </c>
      <c r="D3" s="3">
        <f>1407.99+84.39</f>
        <v>1492.38</v>
      </c>
      <c r="E3" s="3"/>
      <c r="F3" s="8"/>
    </row>
    <row r="4" spans="1:6" ht="15" customHeight="1">
      <c r="A4" s="2">
        <v>41780</v>
      </c>
      <c r="B4" s="7" t="s">
        <v>8</v>
      </c>
      <c r="C4" s="7">
        <v>130</v>
      </c>
      <c r="D4" s="3">
        <f>C4*(3.68+0.22)</f>
        <v>507.00000000000006</v>
      </c>
      <c r="E4" s="3"/>
      <c r="F4" s="8"/>
    </row>
    <row r="5" spans="1:6" ht="15" customHeight="1">
      <c r="A5" s="2">
        <v>41780</v>
      </c>
      <c r="B5" s="7" t="s">
        <v>9</v>
      </c>
      <c r="C5" s="7">
        <v>87</v>
      </c>
      <c r="D5" s="3">
        <f>C5*(3.68+0.22)</f>
        <v>339.3</v>
      </c>
      <c r="E5" s="3"/>
      <c r="F5" s="8"/>
    </row>
    <row r="6" spans="1:6" ht="15" customHeight="1">
      <c r="A6" s="2">
        <v>41780</v>
      </c>
      <c r="B6" s="7" t="s">
        <v>10</v>
      </c>
      <c r="C6" s="7">
        <v>14</v>
      </c>
      <c r="D6" s="3">
        <f>C6*(3.68+0.22)</f>
        <v>54.600000000000009</v>
      </c>
      <c r="E6" s="3"/>
      <c r="F6" s="8"/>
    </row>
    <row r="7" spans="1:6" ht="15" customHeight="1">
      <c r="A7" s="2">
        <v>41780</v>
      </c>
      <c r="B7" s="7" t="s">
        <v>11</v>
      </c>
      <c r="C7" s="7"/>
      <c r="D7" s="3"/>
      <c r="E7" s="3">
        <v>1.1599999999999999</v>
      </c>
      <c r="F7" s="8"/>
    </row>
    <row r="8" spans="1:6" ht="15" customHeight="1">
      <c r="A8" s="2">
        <v>41780</v>
      </c>
      <c r="B8" s="7" t="s">
        <v>98</v>
      </c>
      <c r="C8" s="7"/>
      <c r="D8" s="3"/>
      <c r="E8" s="3">
        <v>84.39</v>
      </c>
      <c r="F8" s="8"/>
    </row>
    <row r="9" spans="1:6" ht="15" customHeight="1">
      <c r="A9" s="2">
        <v>41780</v>
      </c>
      <c r="B9" s="7" t="s">
        <v>13</v>
      </c>
      <c r="C9" s="7">
        <v>130</v>
      </c>
      <c r="D9" s="3"/>
      <c r="E9" s="3">
        <f>C9*0.22</f>
        <v>28.6</v>
      </c>
      <c r="F9" s="8"/>
    </row>
    <row r="10" spans="1:6" ht="15" customHeight="1">
      <c r="A10" s="2">
        <v>41780</v>
      </c>
      <c r="B10" s="7" t="s">
        <v>14</v>
      </c>
      <c r="C10" s="7">
        <v>87</v>
      </c>
      <c r="D10" s="3"/>
      <c r="E10" s="3">
        <f t="shared" ref="E10:E11" si="0">C10*0.22</f>
        <v>19.14</v>
      </c>
      <c r="F10" s="8"/>
    </row>
    <row r="11" spans="1:6" ht="15" customHeight="1">
      <c r="A11" s="2">
        <v>41780</v>
      </c>
      <c r="B11" s="7" t="s">
        <v>15</v>
      </c>
      <c r="C11" s="7">
        <v>14</v>
      </c>
      <c r="D11" s="3"/>
      <c r="E11" s="3">
        <f t="shared" si="0"/>
        <v>3.08</v>
      </c>
      <c r="F11" s="8"/>
    </row>
    <row r="12" spans="1:6" ht="15" customHeight="1" thickBot="1">
      <c r="A12" s="4" t="s">
        <v>27</v>
      </c>
      <c r="B12" s="9"/>
      <c r="C12" s="9"/>
      <c r="D12" s="5">
        <f>SUM(D2:D11)</f>
        <v>2413.87</v>
      </c>
      <c r="E12" s="5">
        <f>SUM(E2:E11)</f>
        <v>136.37000000000003</v>
      </c>
      <c r="F12" s="6">
        <f>D12-E12</f>
        <v>2277.5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31"/>
  <dimension ref="A1:F12"/>
  <sheetViews>
    <sheetView workbookViewId="0">
      <selection activeCell="A12" sqref="A12:XFD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41781</v>
      </c>
      <c r="B2" s="7" t="s">
        <v>6</v>
      </c>
      <c r="C2" s="7" t="s">
        <v>62</v>
      </c>
      <c r="D2" s="3">
        <f>71.43+4.29</f>
        <v>75.720000000000013</v>
      </c>
      <c r="E2" s="3"/>
      <c r="F2" s="8"/>
    </row>
    <row r="3" spans="1:6" ht="15" customHeight="1">
      <c r="A3" s="2">
        <v>41781</v>
      </c>
      <c r="B3" s="7" t="s">
        <v>7</v>
      </c>
      <c r="C3" s="7">
        <v>2</v>
      </c>
      <c r="D3" s="3">
        <f>(13.05+0.72)*2</f>
        <v>27.540000000000003</v>
      </c>
      <c r="E3" s="3"/>
      <c r="F3" s="8"/>
    </row>
    <row r="4" spans="1:6" ht="15" customHeight="1">
      <c r="A4" s="2">
        <v>41781</v>
      </c>
      <c r="B4" s="7" t="s">
        <v>8</v>
      </c>
      <c r="C4" s="7">
        <v>138</v>
      </c>
      <c r="D4" s="3">
        <f>C4*(3.68+0.22)</f>
        <v>538.20000000000005</v>
      </c>
      <c r="E4" s="3"/>
      <c r="F4" s="8"/>
    </row>
    <row r="5" spans="1:6" ht="15" customHeight="1">
      <c r="A5" s="2">
        <v>41781</v>
      </c>
      <c r="B5" s="7" t="s">
        <v>9</v>
      </c>
      <c r="C5" s="7">
        <v>68</v>
      </c>
      <c r="D5" s="3">
        <f>C5*(3.68+0.22)</f>
        <v>265.20000000000005</v>
      </c>
      <c r="E5" s="3"/>
      <c r="F5" s="8"/>
    </row>
    <row r="6" spans="1:6" ht="15" customHeight="1">
      <c r="A6" s="2">
        <v>41781</v>
      </c>
      <c r="B6" s="7" t="s">
        <v>10</v>
      </c>
      <c r="C6" s="7">
        <v>4</v>
      </c>
      <c r="D6" s="3">
        <f>C6*(3.68+0.22)</f>
        <v>15.600000000000001</v>
      </c>
      <c r="E6" s="3"/>
      <c r="F6" s="8"/>
    </row>
    <row r="7" spans="1:6" ht="15" customHeight="1">
      <c r="A7" s="2">
        <v>41781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41781</v>
      </c>
      <c r="B8" s="7" t="s">
        <v>12</v>
      </c>
      <c r="C8" s="7">
        <v>2</v>
      </c>
      <c r="D8" s="3"/>
      <c r="E8" s="3">
        <f>2*0.78</f>
        <v>1.56</v>
      </c>
      <c r="F8" s="8"/>
    </row>
    <row r="9" spans="1:6" ht="15" customHeight="1">
      <c r="A9" s="2">
        <v>41781</v>
      </c>
      <c r="B9" s="7" t="s">
        <v>13</v>
      </c>
      <c r="C9" s="7">
        <v>138</v>
      </c>
      <c r="D9" s="3"/>
      <c r="E9" s="3">
        <f>C9*0.22</f>
        <v>30.36</v>
      </c>
      <c r="F9" s="8"/>
    </row>
    <row r="10" spans="1:6" ht="15" customHeight="1">
      <c r="A10" s="2">
        <v>41781</v>
      </c>
      <c r="B10" s="7" t="s">
        <v>14</v>
      </c>
      <c r="C10" s="7">
        <v>68</v>
      </c>
      <c r="D10" s="3"/>
      <c r="E10" s="3">
        <f t="shared" ref="E10:E11" si="0">C10*0.22</f>
        <v>14.96</v>
      </c>
      <c r="F10" s="8"/>
    </row>
    <row r="11" spans="1:6" ht="15" customHeight="1">
      <c r="A11" s="2">
        <v>41781</v>
      </c>
      <c r="B11" s="7" t="s">
        <v>15</v>
      </c>
      <c r="C11" s="7">
        <v>4</v>
      </c>
      <c r="D11" s="3"/>
      <c r="E11" s="3">
        <f t="shared" si="0"/>
        <v>0.88</v>
      </c>
      <c r="F11" s="8"/>
    </row>
    <row r="12" spans="1:6" ht="15" customHeight="1" thickBot="1">
      <c r="A12" s="4" t="s">
        <v>27</v>
      </c>
      <c r="B12" s="9"/>
      <c r="C12" s="9"/>
      <c r="D12" s="5">
        <f>SUM(D2:D11)</f>
        <v>922.2600000000001</v>
      </c>
      <c r="E12" s="5">
        <f>SUM(E2:E11)</f>
        <v>52.050000000000004</v>
      </c>
      <c r="F12" s="6">
        <f>D12-E12</f>
        <v>870.21000000000015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32"/>
  <dimension ref="A1:F17"/>
  <sheetViews>
    <sheetView workbookViewId="0">
      <selection activeCell="F18" sqref="F1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41782</v>
      </c>
      <c r="B2" s="7" t="s">
        <v>6</v>
      </c>
      <c r="C2" s="7" t="s">
        <v>63</v>
      </c>
      <c r="D2" s="3">
        <f>71.43+4.29</f>
        <v>75.720000000000013</v>
      </c>
      <c r="E2" s="3"/>
      <c r="F2" s="8"/>
    </row>
    <row r="3" spans="1:6" ht="15" customHeight="1">
      <c r="A3" s="2">
        <v>41782</v>
      </c>
      <c r="B3" s="7" t="s">
        <v>71</v>
      </c>
      <c r="C3" s="12" t="s">
        <v>89</v>
      </c>
      <c r="D3" s="3">
        <f>3937.31+235.73</f>
        <v>4173.04</v>
      </c>
      <c r="E3" s="3"/>
      <c r="F3" s="8"/>
    </row>
    <row r="4" spans="1:6" ht="15" customHeight="1">
      <c r="A4" s="2">
        <v>41782</v>
      </c>
      <c r="B4" s="7" t="s">
        <v>71</v>
      </c>
      <c r="C4" s="12" t="s">
        <v>90</v>
      </c>
      <c r="D4" s="3">
        <f>573.32+34.32</f>
        <v>607.6400000000001</v>
      </c>
      <c r="E4" s="3"/>
      <c r="F4" s="8"/>
    </row>
    <row r="5" spans="1:6" ht="15" customHeight="1">
      <c r="A5" s="2">
        <v>41782</v>
      </c>
      <c r="B5" s="7" t="s">
        <v>71</v>
      </c>
      <c r="C5" s="12" t="s">
        <v>91</v>
      </c>
      <c r="D5" s="3">
        <f>996.59+59.71</f>
        <v>1056.3</v>
      </c>
      <c r="E5" s="3"/>
      <c r="F5" s="8"/>
    </row>
    <row r="6" spans="1:6" ht="15" customHeight="1">
      <c r="A6" s="2">
        <v>41782</v>
      </c>
      <c r="B6" s="7" t="s">
        <v>71</v>
      </c>
      <c r="C6" s="12" t="s">
        <v>97</v>
      </c>
      <c r="D6" s="3">
        <f>28.24+1.69</f>
        <v>29.93</v>
      </c>
      <c r="E6" s="3"/>
      <c r="F6" s="8"/>
    </row>
    <row r="7" spans="1:6" ht="15" customHeight="1">
      <c r="A7" s="2">
        <v>41782</v>
      </c>
      <c r="B7" s="7" t="s">
        <v>7</v>
      </c>
      <c r="C7" s="7">
        <v>2</v>
      </c>
      <c r="D7" s="3">
        <f>(13.05+0.78)*C7</f>
        <v>27.66</v>
      </c>
      <c r="E7" s="3"/>
      <c r="F7" s="8"/>
    </row>
    <row r="8" spans="1:6" ht="15" customHeight="1">
      <c r="A8" s="2">
        <v>41782</v>
      </c>
      <c r="B8" s="7" t="s">
        <v>8</v>
      </c>
      <c r="C8" s="7">
        <v>133</v>
      </c>
      <c r="D8" s="3">
        <f>C8*(3.68+0.22)</f>
        <v>518.70000000000005</v>
      </c>
      <c r="E8" s="3"/>
      <c r="F8" s="8"/>
    </row>
    <row r="9" spans="1:6" ht="15" customHeight="1">
      <c r="A9" s="2">
        <v>41782</v>
      </c>
      <c r="B9" s="7" t="s">
        <v>9</v>
      </c>
      <c r="C9" s="7">
        <v>182</v>
      </c>
      <c r="D9" s="3">
        <f>C9*(3.68+0.22)</f>
        <v>709.80000000000007</v>
      </c>
      <c r="E9" s="3"/>
      <c r="F9" s="8"/>
    </row>
    <row r="10" spans="1:6" ht="15" customHeight="1">
      <c r="A10" s="2">
        <v>41782</v>
      </c>
      <c r="B10" s="7" t="s">
        <v>10</v>
      </c>
      <c r="C10" s="7">
        <v>15</v>
      </c>
      <c r="D10" s="3">
        <f>C10*(3.68+0.22)</f>
        <v>58.500000000000007</v>
      </c>
      <c r="E10" s="3"/>
      <c r="F10" s="8"/>
    </row>
    <row r="11" spans="1:6" ht="15" customHeight="1">
      <c r="A11" s="2">
        <v>41782</v>
      </c>
      <c r="B11" s="7" t="s">
        <v>11</v>
      </c>
      <c r="C11" s="7"/>
      <c r="D11" s="3"/>
      <c r="E11" s="3">
        <v>4.29</v>
      </c>
      <c r="F11" s="8"/>
    </row>
    <row r="12" spans="1:6" ht="15" customHeight="1">
      <c r="A12" s="2">
        <v>41782</v>
      </c>
      <c r="B12" s="7" t="s">
        <v>98</v>
      </c>
      <c r="C12" s="7"/>
      <c r="D12" s="3"/>
      <c r="E12" s="3">
        <f>235.73+34.32+59.71+1.69</f>
        <v>331.45</v>
      </c>
      <c r="F12" s="8"/>
    </row>
    <row r="13" spans="1:6" ht="15" customHeight="1">
      <c r="A13" s="2">
        <v>41782</v>
      </c>
      <c r="B13" s="7" t="s">
        <v>12</v>
      </c>
      <c r="C13" s="7">
        <v>2</v>
      </c>
      <c r="E13" s="3">
        <f>0.78*2</f>
        <v>1.56</v>
      </c>
      <c r="F13" s="8"/>
    </row>
    <row r="14" spans="1:6" ht="15" customHeight="1">
      <c r="A14" s="2">
        <v>41782</v>
      </c>
      <c r="B14" s="7" t="s">
        <v>13</v>
      </c>
      <c r="C14" s="7">
        <v>133</v>
      </c>
      <c r="D14" s="3"/>
      <c r="E14" s="3">
        <f>C14*0.22</f>
        <v>29.26</v>
      </c>
      <c r="F14" s="8"/>
    </row>
    <row r="15" spans="1:6" ht="15" customHeight="1">
      <c r="A15" s="2">
        <v>41782</v>
      </c>
      <c r="B15" s="7" t="s">
        <v>14</v>
      </c>
      <c r="C15" s="7">
        <v>182</v>
      </c>
      <c r="D15" s="3"/>
      <c r="E15" s="3">
        <f t="shared" ref="E15:E16" si="0">C15*0.22</f>
        <v>40.04</v>
      </c>
      <c r="F15" s="8"/>
    </row>
    <row r="16" spans="1:6" ht="15" customHeight="1">
      <c r="A16" s="2">
        <v>41782</v>
      </c>
      <c r="B16" s="7" t="s">
        <v>15</v>
      </c>
      <c r="C16" s="7">
        <v>15</v>
      </c>
      <c r="D16" s="3"/>
      <c r="E16" s="3">
        <f t="shared" si="0"/>
        <v>3.3</v>
      </c>
      <c r="F16" s="8"/>
    </row>
    <row r="17" spans="1:6" ht="15" customHeight="1" thickBot="1">
      <c r="A17" s="4" t="s">
        <v>27</v>
      </c>
      <c r="B17" s="9"/>
      <c r="C17" s="9"/>
      <c r="D17" s="5">
        <f>SUM(D2:D16)</f>
        <v>7257.2900000000009</v>
      </c>
      <c r="E17" s="5">
        <f>SUM(E2:E16)</f>
        <v>409.90000000000003</v>
      </c>
      <c r="F17" s="6">
        <f>D17-E17</f>
        <v>6847.3900000000012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35"/>
  <dimension ref="A1:F15"/>
  <sheetViews>
    <sheetView workbookViewId="0">
      <selection activeCell="B14" sqref="B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41785</v>
      </c>
      <c r="B2" s="7" t="s">
        <v>6</v>
      </c>
      <c r="C2" s="7" t="s">
        <v>64</v>
      </c>
      <c r="D2" s="3">
        <f>15.03+0.9</f>
        <v>15.93</v>
      </c>
      <c r="E2" s="3"/>
      <c r="F2" s="8"/>
    </row>
    <row r="3" spans="1:6" ht="15" customHeight="1">
      <c r="A3" s="2">
        <v>41785</v>
      </c>
      <c r="B3" s="7" t="s">
        <v>71</v>
      </c>
      <c r="C3" s="12" t="s">
        <v>92</v>
      </c>
      <c r="D3" s="3">
        <f>28.24+1.69</f>
        <v>29.93</v>
      </c>
      <c r="E3" s="3"/>
      <c r="F3" s="8"/>
    </row>
    <row r="4" spans="1:6" ht="15" customHeight="1">
      <c r="A4" s="2">
        <v>41785</v>
      </c>
      <c r="B4" s="7" t="s">
        <v>7</v>
      </c>
      <c r="C4" s="7">
        <v>1</v>
      </c>
      <c r="D4" s="3">
        <f>22.82+1.37</f>
        <v>24.19</v>
      </c>
      <c r="E4" s="3"/>
      <c r="F4" s="8"/>
    </row>
    <row r="5" spans="1:6" ht="15" customHeight="1">
      <c r="A5" s="2">
        <v>41785</v>
      </c>
      <c r="B5" s="7" t="s">
        <v>8</v>
      </c>
      <c r="C5" s="7">
        <v>142</v>
      </c>
      <c r="D5" s="3">
        <f>C5*(3.68+0.22)</f>
        <v>553.80000000000007</v>
      </c>
      <c r="E5" s="3"/>
      <c r="F5" s="8"/>
    </row>
    <row r="6" spans="1:6" ht="15" customHeight="1">
      <c r="A6" s="2">
        <v>41785</v>
      </c>
      <c r="B6" s="7" t="s">
        <v>9</v>
      </c>
      <c r="C6" s="7">
        <v>176</v>
      </c>
      <c r="D6" s="3">
        <f>C6*(3.68+0.22)</f>
        <v>686.40000000000009</v>
      </c>
      <c r="E6" s="3"/>
      <c r="F6" s="8"/>
    </row>
    <row r="7" spans="1:6" ht="15" customHeight="1">
      <c r="A7" s="2">
        <v>41785</v>
      </c>
      <c r="B7" s="7" t="s">
        <v>10</v>
      </c>
      <c r="C7" s="7">
        <v>15</v>
      </c>
      <c r="D7" s="3">
        <f>C7*(3.68+0.22)</f>
        <v>58.500000000000007</v>
      </c>
      <c r="E7" s="3"/>
      <c r="F7" s="8"/>
    </row>
    <row r="8" spans="1:6" ht="15" customHeight="1">
      <c r="A8" s="2">
        <v>41785</v>
      </c>
      <c r="B8" s="7" t="s">
        <v>11</v>
      </c>
      <c r="C8" s="7"/>
      <c r="D8" s="3"/>
      <c r="E8" s="3">
        <v>0.9</v>
      </c>
      <c r="F8" s="8"/>
    </row>
    <row r="9" spans="1:6" ht="15" customHeight="1">
      <c r="A9" s="2">
        <v>41785</v>
      </c>
      <c r="B9" s="7" t="s">
        <v>98</v>
      </c>
      <c r="C9" s="7"/>
      <c r="D9" s="3"/>
      <c r="E9" s="3">
        <v>1.69</v>
      </c>
      <c r="F9" s="8"/>
    </row>
    <row r="10" spans="1:6" ht="15" customHeight="1">
      <c r="A10" s="2">
        <v>41785</v>
      </c>
      <c r="B10" s="7" t="s">
        <v>12</v>
      </c>
      <c r="C10" s="7">
        <v>1</v>
      </c>
      <c r="E10" s="3">
        <v>1.37</v>
      </c>
      <c r="F10" s="8"/>
    </row>
    <row r="11" spans="1:6" ht="15" customHeight="1">
      <c r="A11" s="2">
        <v>41785</v>
      </c>
      <c r="B11" s="7" t="s">
        <v>13</v>
      </c>
      <c r="C11" s="7">
        <v>142</v>
      </c>
      <c r="D11" s="3"/>
      <c r="E11" s="3">
        <f>C11*0.22</f>
        <v>31.24</v>
      </c>
      <c r="F11" s="8"/>
    </row>
    <row r="12" spans="1:6" ht="15" customHeight="1">
      <c r="A12" s="2">
        <v>41785</v>
      </c>
      <c r="B12" s="7" t="s">
        <v>14</v>
      </c>
      <c r="C12" s="7">
        <v>176</v>
      </c>
      <c r="D12" s="3"/>
      <c r="E12" s="3">
        <f t="shared" ref="E12:E13" si="0">C12*0.22</f>
        <v>38.72</v>
      </c>
      <c r="F12" s="8"/>
    </row>
    <row r="13" spans="1:6" ht="15" customHeight="1">
      <c r="A13" s="2">
        <v>41785</v>
      </c>
      <c r="B13" s="7" t="s">
        <v>15</v>
      </c>
      <c r="C13" s="7">
        <v>15</v>
      </c>
      <c r="D13" s="3"/>
      <c r="E13" s="3">
        <f t="shared" si="0"/>
        <v>3.3</v>
      </c>
      <c r="F13" s="8"/>
    </row>
    <row r="14" spans="1:6" ht="15" customHeight="1">
      <c r="A14" s="2">
        <v>41785</v>
      </c>
      <c r="B14" s="7" t="s">
        <v>19</v>
      </c>
      <c r="C14" s="7"/>
      <c r="D14" s="3"/>
      <c r="E14" s="3">
        <v>1.2</v>
      </c>
      <c r="F14" s="8"/>
    </row>
    <row r="15" spans="1:6" ht="15" customHeight="1" thickBot="1">
      <c r="A15" s="4" t="s">
        <v>27</v>
      </c>
      <c r="B15" s="9"/>
      <c r="C15" s="9"/>
      <c r="D15" s="5">
        <f>SUM(D2:D14)</f>
        <v>1368.75</v>
      </c>
      <c r="E15" s="5">
        <f>SUM(E2:E14)</f>
        <v>78.419999999999987</v>
      </c>
      <c r="F15" s="6">
        <f>D15-E15</f>
        <v>1290.33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36"/>
  <dimension ref="A1:F12"/>
  <sheetViews>
    <sheetView workbookViewId="0">
      <selection activeCell="A12" sqref="A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41786</v>
      </c>
      <c r="B2" s="7" t="s">
        <v>71</v>
      </c>
      <c r="C2" s="12" t="s">
        <v>93</v>
      </c>
      <c r="D2" s="3">
        <f>573.32+34.32</f>
        <v>607.6400000000001</v>
      </c>
      <c r="E2" s="3"/>
      <c r="F2" s="8"/>
    </row>
    <row r="3" spans="1:6" ht="15" customHeight="1">
      <c r="A3" s="2">
        <v>41786</v>
      </c>
      <c r="B3" s="7" t="s">
        <v>7</v>
      </c>
      <c r="C3" s="7">
        <v>1</v>
      </c>
      <c r="D3" s="3">
        <f>13.05+0.78</f>
        <v>13.83</v>
      </c>
      <c r="E3" s="3"/>
      <c r="F3" s="8"/>
    </row>
    <row r="4" spans="1:6" ht="15" customHeight="1">
      <c r="A4" s="2">
        <v>41786</v>
      </c>
      <c r="B4" s="7" t="s">
        <v>8</v>
      </c>
      <c r="C4" s="7">
        <v>180</v>
      </c>
      <c r="D4" s="3">
        <f>C4*(3.68+0.22)</f>
        <v>702.00000000000011</v>
      </c>
      <c r="E4" s="3"/>
      <c r="F4" s="8"/>
    </row>
    <row r="5" spans="1:6" ht="15" customHeight="1">
      <c r="A5" s="2">
        <v>41786</v>
      </c>
      <c r="B5" s="7" t="s">
        <v>9</v>
      </c>
      <c r="C5" s="7">
        <v>48</v>
      </c>
      <c r="D5" s="3">
        <f>C5*(3.68+0.22)</f>
        <v>187.20000000000002</v>
      </c>
      <c r="E5" s="3"/>
      <c r="F5" s="8"/>
    </row>
    <row r="6" spans="1:6" ht="15" customHeight="1">
      <c r="A6" s="2">
        <v>41786</v>
      </c>
      <c r="B6" s="7" t="s">
        <v>10</v>
      </c>
      <c r="C6" s="7">
        <v>13</v>
      </c>
      <c r="D6" s="3">
        <f>C6*(3.68+0.22)</f>
        <v>50.7</v>
      </c>
      <c r="E6" s="3"/>
      <c r="F6" s="8"/>
    </row>
    <row r="7" spans="1:6" ht="15" customHeight="1">
      <c r="A7" s="2">
        <v>41786</v>
      </c>
      <c r="B7" s="7" t="s">
        <v>98</v>
      </c>
      <c r="C7" s="7"/>
      <c r="D7" s="3"/>
      <c r="E7" s="3">
        <v>34.32</v>
      </c>
      <c r="F7" s="8"/>
    </row>
    <row r="8" spans="1:6" ht="15" customHeight="1">
      <c r="A8" s="2">
        <v>41786</v>
      </c>
      <c r="B8" s="7" t="s">
        <v>12</v>
      </c>
      <c r="C8" s="7">
        <v>1</v>
      </c>
      <c r="D8" s="3"/>
      <c r="E8" s="3">
        <v>0.78</v>
      </c>
      <c r="F8" s="8"/>
    </row>
    <row r="9" spans="1:6" ht="15" customHeight="1">
      <c r="A9" s="2">
        <v>41786</v>
      </c>
      <c r="B9" s="7" t="s">
        <v>13</v>
      </c>
      <c r="C9" s="7">
        <v>180</v>
      </c>
      <c r="D9" s="3"/>
      <c r="E9" s="3">
        <f>C9*0.22</f>
        <v>39.6</v>
      </c>
      <c r="F9" s="8"/>
    </row>
    <row r="10" spans="1:6" ht="15" customHeight="1">
      <c r="A10" s="2">
        <v>41786</v>
      </c>
      <c r="B10" s="7" t="s">
        <v>14</v>
      </c>
      <c r="C10" s="7">
        <v>48</v>
      </c>
      <c r="D10" s="3"/>
      <c r="E10" s="3">
        <f t="shared" ref="E10:E11" si="0">C10*0.22</f>
        <v>10.56</v>
      </c>
      <c r="F10" s="8"/>
    </row>
    <row r="11" spans="1:6" ht="15" customHeight="1">
      <c r="A11" s="2">
        <v>41786</v>
      </c>
      <c r="B11" s="7" t="s">
        <v>15</v>
      </c>
      <c r="C11" s="7">
        <v>13</v>
      </c>
      <c r="D11" s="3"/>
      <c r="E11" s="3">
        <f t="shared" si="0"/>
        <v>2.86</v>
      </c>
      <c r="F11" s="8"/>
    </row>
    <row r="12" spans="1:6" ht="15" customHeight="1" thickBot="1">
      <c r="A12" s="4" t="s">
        <v>27</v>
      </c>
      <c r="B12" s="9"/>
      <c r="C12" s="9"/>
      <c r="D12" s="5">
        <f>SUM(D2:D11)</f>
        <v>1561.3700000000003</v>
      </c>
      <c r="E12" s="5">
        <f>SUM(E2:E11)</f>
        <v>88.12</v>
      </c>
      <c r="F12" s="6">
        <f>D12-E12</f>
        <v>1473.2500000000005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37"/>
  <dimension ref="A1:F13"/>
  <sheetViews>
    <sheetView workbookViewId="0">
      <selection activeCell="B12" sqref="B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41787</v>
      </c>
      <c r="B2" s="7" t="s">
        <v>6</v>
      </c>
      <c r="C2" s="7" t="s">
        <v>65</v>
      </c>
      <c r="D2" s="3">
        <f>11.98+0.72</f>
        <v>12.700000000000001</v>
      </c>
      <c r="E2" s="3"/>
      <c r="F2" s="8"/>
    </row>
    <row r="3" spans="1:6" ht="15" customHeight="1">
      <c r="A3" s="2">
        <v>41787</v>
      </c>
      <c r="B3" s="7" t="s">
        <v>6</v>
      </c>
      <c r="C3" s="7" t="s">
        <v>66</v>
      </c>
      <c r="D3" s="3">
        <f>19.43+1.16</f>
        <v>20.59</v>
      </c>
      <c r="E3" s="3"/>
      <c r="F3" s="8"/>
    </row>
    <row r="4" spans="1:6" ht="15" customHeight="1">
      <c r="A4" s="2">
        <v>41787</v>
      </c>
      <c r="B4" s="7" t="s">
        <v>6</v>
      </c>
      <c r="C4" s="7" t="s">
        <v>67</v>
      </c>
      <c r="D4" s="3">
        <f>71.43+4.29</f>
        <v>75.720000000000013</v>
      </c>
      <c r="E4" s="3"/>
      <c r="F4" s="8"/>
    </row>
    <row r="5" spans="1:6" ht="15" customHeight="1">
      <c r="A5" s="2">
        <v>41787</v>
      </c>
      <c r="B5" s="7" t="s">
        <v>8</v>
      </c>
      <c r="C5" s="7">
        <v>148</v>
      </c>
      <c r="D5" s="3">
        <f>C5*(3.68+0.22)</f>
        <v>577.20000000000005</v>
      </c>
      <c r="E5" s="3"/>
      <c r="F5" s="8"/>
    </row>
    <row r="6" spans="1:6" ht="15" customHeight="1">
      <c r="A6" s="2">
        <v>41787</v>
      </c>
      <c r="B6" s="7" t="s">
        <v>9</v>
      </c>
      <c r="C6" s="7">
        <v>193</v>
      </c>
      <c r="D6" s="3">
        <f>C6*(3.68+0.22)</f>
        <v>752.7</v>
      </c>
      <c r="E6" s="3"/>
      <c r="F6" s="8"/>
    </row>
    <row r="7" spans="1:6" ht="15" customHeight="1">
      <c r="A7" s="2">
        <v>41787</v>
      </c>
      <c r="B7" s="7" t="s">
        <v>10</v>
      </c>
      <c r="C7" s="7">
        <v>7</v>
      </c>
      <c r="D7" s="3">
        <f>C7*(3.68+0.22)</f>
        <v>27.300000000000004</v>
      </c>
      <c r="E7" s="3"/>
      <c r="F7" s="8"/>
    </row>
    <row r="8" spans="1:6" ht="15" customHeight="1">
      <c r="A8" s="2">
        <v>41787</v>
      </c>
      <c r="B8" s="7" t="s">
        <v>11</v>
      </c>
      <c r="C8" s="7"/>
      <c r="D8" s="3"/>
      <c r="E8" s="3">
        <f>0.72+1.16+4.29</f>
        <v>6.17</v>
      </c>
      <c r="F8" s="8"/>
    </row>
    <row r="9" spans="1:6" ht="15" customHeight="1">
      <c r="A9" s="2">
        <v>41787</v>
      </c>
      <c r="B9" s="7" t="s">
        <v>13</v>
      </c>
      <c r="C9" s="7">
        <v>148</v>
      </c>
      <c r="D9" s="3"/>
      <c r="E9" s="3">
        <f>C9*0.22</f>
        <v>32.56</v>
      </c>
      <c r="F9" s="8"/>
    </row>
    <row r="10" spans="1:6" ht="15" customHeight="1">
      <c r="A10" s="2">
        <v>41787</v>
      </c>
      <c r="B10" s="7" t="s">
        <v>14</v>
      </c>
      <c r="C10" s="7">
        <v>193</v>
      </c>
      <c r="D10" s="3"/>
      <c r="E10" s="3">
        <f t="shared" ref="E10:E11" si="0">C10*0.22</f>
        <v>42.46</v>
      </c>
      <c r="F10" s="8"/>
    </row>
    <row r="11" spans="1:6" ht="15" customHeight="1">
      <c r="A11" s="2">
        <v>41787</v>
      </c>
      <c r="B11" s="7" t="s">
        <v>15</v>
      </c>
      <c r="C11" s="7">
        <v>7</v>
      </c>
      <c r="D11" s="3"/>
      <c r="E11" s="3">
        <f t="shared" si="0"/>
        <v>1.54</v>
      </c>
      <c r="F11" s="8"/>
    </row>
    <row r="12" spans="1:6" ht="15" customHeight="1">
      <c r="A12" s="2">
        <v>41787</v>
      </c>
      <c r="B12" s="7" t="s">
        <v>16</v>
      </c>
      <c r="C12" s="7" t="s">
        <v>101</v>
      </c>
      <c r="D12" s="3"/>
      <c r="E12" s="3">
        <v>9.9499999999999993</v>
      </c>
      <c r="F12" s="8"/>
    </row>
    <row r="13" spans="1:6" ht="15" customHeight="1" thickBot="1">
      <c r="A13" s="4" t="s">
        <v>27</v>
      </c>
      <c r="B13" s="9"/>
      <c r="C13" s="9"/>
      <c r="D13" s="5">
        <f>SUM(D2:D12)</f>
        <v>1466.21</v>
      </c>
      <c r="E13" s="5">
        <f>SUM(E2:E12)</f>
        <v>92.68</v>
      </c>
      <c r="F13" s="6">
        <f>D13-E13</f>
        <v>1373.53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6"/>
  <dimension ref="A1:F20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41764</v>
      </c>
      <c r="B2" s="7" t="s">
        <v>6</v>
      </c>
      <c r="C2" s="7" t="s">
        <v>29</v>
      </c>
      <c r="D2" s="3">
        <f>71.43+4.29</f>
        <v>75.720000000000013</v>
      </c>
      <c r="E2" s="3"/>
      <c r="F2" s="8"/>
    </row>
    <row r="3" spans="1:6" ht="15" customHeight="1">
      <c r="A3" s="2">
        <v>41764</v>
      </c>
      <c r="B3" s="7" t="s">
        <v>6</v>
      </c>
      <c r="C3" s="7" t="s">
        <v>30</v>
      </c>
      <c r="D3" s="3">
        <f>71.43+4.29</f>
        <v>75.720000000000013</v>
      </c>
      <c r="E3" s="3"/>
      <c r="F3" s="8"/>
    </row>
    <row r="4" spans="1:6" ht="15" customHeight="1">
      <c r="A4" s="2">
        <v>41764</v>
      </c>
      <c r="B4" s="7" t="s">
        <v>8</v>
      </c>
      <c r="C4" s="7">
        <v>145</v>
      </c>
      <c r="D4" s="3">
        <f>C4*(3.68+0.22)</f>
        <v>565.5</v>
      </c>
      <c r="E4" s="3"/>
      <c r="F4" s="8"/>
    </row>
    <row r="5" spans="1:6" ht="15" customHeight="1">
      <c r="A5" s="2">
        <v>41764</v>
      </c>
      <c r="B5" s="7" t="s">
        <v>9</v>
      </c>
      <c r="C5" s="7">
        <v>107</v>
      </c>
      <c r="D5" s="3">
        <f>C5*(3.68+0.22)</f>
        <v>417.3</v>
      </c>
      <c r="E5" s="3"/>
      <c r="F5" s="8"/>
    </row>
    <row r="6" spans="1:6" ht="15" customHeight="1">
      <c r="A6" s="2">
        <v>41764</v>
      </c>
      <c r="B6" s="7" t="s">
        <v>10</v>
      </c>
      <c r="C6" s="7">
        <v>9</v>
      </c>
      <c r="D6" s="3">
        <f>C6*(3.68+0.22)</f>
        <v>35.1</v>
      </c>
      <c r="E6" s="3"/>
      <c r="F6" s="8"/>
    </row>
    <row r="7" spans="1:6" ht="15" customHeight="1">
      <c r="A7" s="2">
        <v>41764</v>
      </c>
      <c r="B7" s="7" t="s">
        <v>11</v>
      </c>
      <c r="C7" s="7"/>
      <c r="D7" s="3"/>
      <c r="E7" s="7">
        <f>4.29*2</f>
        <v>8.58</v>
      </c>
      <c r="F7" s="8"/>
    </row>
    <row r="8" spans="1:6" ht="15" customHeight="1">
      <c r="A8" s="2">
        <v>41764</v>
      </c>
      <c r="B8" s="7" t="s">
        <v>13</v>
      </c>
      <c r="C8" s="7">
        <v>145</v>
      </c>
      <c r="D8" s="3"/>
      <c r="E8" s="3">
        <f>C8*0.22</f>
        <v>31.9</v>
      </c>
      <c r="F8" s="8"/>
    </row>
    <row r="9" spans="1:6" ht="15" customHeight="1">
      <c r="A9" s="2">
        <v>41764</v>
      </c>
      <c r="B9" s="7" t="s">
        <v>14</v>
      </c>
      <c r="C9" s="7">
        <v>107</v>
      </c>
      <c r="D9" s="3"/>
      <c r="E9" s="3">
        <f t="shared" ref="E9:E10" si="0">C9*0.22</f>
        <v>23.54</v>
      </c>
      <c r="F9" s="8"/>
    </row>
    <row r="10" spans="1:6" ht="15" customHeight="1">
      <c r="A10" s="2">
        <v>41764</v>
      </c>
      <c r="B10" s="7" t="s">
        <v>15</v>
      </c>
      <c r="C10" s="7">
        <v>9</v>
      </c>
      <c r="D10" s="3"/>
      <c r="E10" s="3">
        <f t="shared" si="0"/>
        <v>1.98</v>
      </c>
      <c r="F10" s="8"/>
    </row>
    <row r="11" spans="1:6" ht="15" customHeight="1">
      <c r="A11" s="2">
        <v>41764</v>
      </c>
      <c r="B11" s="7" t="s">
        <v>106</v>
      </c>
      <c r="C11" s="7" t="s">
        <v>101</v>
      </c>
      <c r="D11" s="3"/>
      <c r="E11" s="3" t="s">
        <v>108</v>
      </c>
      <c r="F11" s="8"/>
    </row>
    <row r="12" spans="1:6" ht="15" customHeight="1">
      <c r="A12" s="2">
        <v>41764</v>
      </c>
      <c r="B12" s="7" t="s">
        <v>17</v>
      </c>
      <c r="C12" s="7" t="s">
        <v>18</v>
      </c>
      <c r="D12" s="3"/>
      <c r="E12" s="3">
        <v>83</v>
      </c>
      <c r="F12" s="8"/>
    </row>
    <row r="13" spans="1:6" ht="15" customHeight="1" thickBot="1">
      <c r="A13" s="4" t="s">
        <v>27</v>
      </c>
      <c r="B13" s="9"/>
      <c r="C13" s="9"/>
      <c r="D13" s="5">
        <f>SUM(D2:D12)</f>
        <v>1169.3399999999999</v>
      </c>
      <c r="E13" s="5">
        <f>SUM(E2:E12)</f>
        <v>149</v>
      </c>
      <c r="F13" s="6">
        <f>D13-E13</f>
        <v>1020.3399999999999</v>
      </c>
    </row>
    <row r="20" spans="3:3" ht="15" customHeight="1">
      <c r="C20" t="s">
        <v>107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38"/>
  <dimension ref="A1:F12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41788</v>
      </c>
      <c r="B2" s="7" t="s">
        <v>6</v>
      </c>
      <c r="C2" s="7" t="s">
        <v>68</v>
      </c>
      <c r="D2" s="3">
        <f>71.43+4.29</f>
        <v>75.720000000000013</v>
      </c>
      <c r="E2" s="3"/>
      <c r="F2" s="8"/>
    </row>
    <row r="3" spans="1:6" ht="15" customHeight="1">
      <c r="A3" s="2">
        <v>41788</v>
      </c>
      <c r="B3" s="7" t="s">
        <v>71</v>
      </c>
      <c r="C3" s="12" t="s">
        <v>94</v>
      </c>
      <c r="D3" s="3">
        <f>2840.26+170.18</f>
        <v>3010.44</v>
      </c>
      <c r="E3" s="3"/>
      <c r="F3" s="8"/>
    </row>
    <row r="4" spans="1:6" ht="15" customHeight="1">
      <c r="A4" s="2">
        <v>41788</v>
      </c>
      <c r="B4" s="7" t="s">
        <v>8</v>
      </c>
      <c r="C4" s="7">
        <v>114</v>
      </c>
      <c r="D4" s="3">
        <f>C4*(3.68+0.22)</f>
        <v>444.6</v>
      </c>
      <c r="E4" s="3"/>
      <c r="F4" s="8"/>
    </row>
    <row r="5" spans="1:6" ht="15" customHeight="1">
      <c r="A5" s="2">
        <v>41788</v>
      </c>
      <c r="B5" s="7" t="s">
        <v>9</v>
      </c>
      <c r="C5" s="7">
        <v>115</v>
      </c>
      <c r="D5" s="3">
        <f>C5*(3.68+0.22)</f>
        <v>448.50000000000006</v>
      </c>
      <c r="E5" s="3"/>
      <c r="F5" s="8"/>
    </row>
    <row r="6" spans="1:6" ht="15" customHeight="1">
      <c r="A6" s="2">
        <v>41788</v>
      </c>
      <c r="B6" s="7" t="s">
        <v>10</v>
      </c>
      <c r="C6" s="7">
        <v>9</v>
      </c>
      <c r="D6" s="3">
        <f>C6*(3.68+0.22)</f>
        <v>35.1</v>
      </c>
      <c r="E6" s="3"/>
      <c r="F6" s="8"/>
    </row>
    <row r="7" spans="1:6" ht="15" customHeight="1">
      <c r="A7" s="2">
        <v>41788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41788</v>
      </c>
      <c r="B8" s="7" t="s">
        <v>98</v>
      </c>
      <c r="C8" s="7"/>
      <c r="D8" s="3"/>
      <c r="E8" s="3">
        <v>170.18</v>
      </c>
      <c r="F8" s="8"/>
    </row>
    <row r="9" spans="1:6" ht="15" customHeight="1">
      <c r="A9" s="2">
        <v>41788</v>
      </c>
      <c r="B9" s="7" t="s">
        <v>13</v>
      </c>
      <c r="C9" s="7">
        <v>114</v>
      </c>
      <c r="D9" s="3"/>
      <c r="E9" s="3">
        <f>C9*0.22</f>
        <v>25.080000000000002</v>
      </c>
      <c r="F9" s="8"/>
    </row>
    <row r="10" spans="1:6" ht="15" customHeight="1">
      <c r="A10" s="2">
        <v>41788</v>
      </c>
      <c r="B10" s="7" t="s">
        <v>14</v>
      </c>
      <c r="C10" s="7">
        <v>115</v>
      </c>
      <c r="D10" s="3"/>
      <c r="E10" s="3">
        <f t="shared" ref="E10:E11" si="0">C10*0.22</f>
        <v>25.3</v>
      </c>
      <c r="F10" s="8"/>
    </row>
    <row r="11" spans="1:6" ht="15" customHeight="1">
      <c r="A11" s="2">
        <v>41788</v>
      </c>
      <c r="B11" s="7" t="s">
        <v>15</v>
      </c>
      <c r="C11" s="7">
        <v>9</v>
      </c>
      <c r="D11" s="3"/>
      <c r="E11" s="3">
        <f t="shared" si="0"/>
        <v>1.98</v>
      </c>
      <c r="F11" s="8"/>
    </row>
    <row r="12" spans="1:6" ht="15" customHeight="1" thickBot="1">
      <c r="A12" s="4" t="s">
        <v>27</v>
      </c>
      <c r="B12" s="9"/>
      <c r="C12" s="9"/>
      <c r="D12" s="5">
        <f>SUM(D2:D11)</f>
        <v>4014.3599999999997</v>
      </c>
      <c r="E12" s="5">
        <f>SUM(E2:E11)</f>
        <v>226.83</v>
      </c>
      <c r="F12" s="6">
        <f>D12-E12</f>
        <v>3787.5299999999997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39"/>
  <dimension ref="A1:F15"/>
  <sheetViews>
    <sheetView workbookViewId="0">
      <selection activeCell="B8" sqref="B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41789</v>
      </c>
      <c r="B2" s="7" t="s">
        <v>6</v>
      </c>
      <c r="C2" s="7" t="s">
        <v>69</v>
      </c>
      <c r="D2" s="3">
        <f>15.03+0.9</f>
        <v>15.93</v>
      </c>
      <c r="E2" s="3"/>
      <c r="F2" s="8"/>
    </row>
    <row r="3" spans="1:6" ht="15" customHeight="1">
      <c r="A3" s="2">
        <v>41789</v>
      </c>
      <c r="B3" s="7" t="s">
        <v>6</v>
      </c>
      <c r="C3" s="7" t="s">
        <v>70</v>
      </c>
      <c r="D3" s="3">
        <f>15.03+0.9</f>
        <v>15.93</v>
      </c>
      <c r="E3" s="3"/>
      <c r="F3" s="8"/>
    </row>
    <row r="4" spans="1:6" ht="15" customHeight="1">
      <c r="A4" s="2">
        <v>41789</v>
      </c>
      <c r="B4" s="7" t="s">
        <v>71</v>
      </c>
      <c r="C4" s="12" t="s">
        <v>95</v>
      </c>
      <c r="D4" s="3">
        <f>783.51+46.95</f>
        <v>830.46</v>
      </c>
      <c r="E4" s="3"/>
      <c r="F4" s="8"/>
    </row>
    <row r="5" spans="1:6" ht="15" customHeight="1">
      <c r="A5" s="2">
        <v>41789</v>
      </c>
      <c r="B5" s="7" t="s">
        <v>71</v>
      </c>
      <c r="C5" s="12" t="s">
        <v>96</v>
      </c>
      <c r="D5" s="3">
        <f>738.66+43.92</f>
        <v>782.57999999999993</v>
      </c>
      <c r="E5" s="3"/>
      <c r="F5" s="8"/>
    </row>
    <row r="6" spans="1:6" ht="15" customHeight="1">
      <c r="A6" s="2">
        <v>41789</v>
      </c>
      <c r="B6" s="7" t="s">
        <v>8</v>
      </c>
      <c r="C6" s="7">
        <v>153</v>
      </c>
      <c r="D6" s="3">
        <f>C6*(3.68+0.22)</f>
        <v>596.70000000000005</v>
      </c>
      <c r="E6" s="3"/>
      <c r="F6" s="8"/>
    </row>
    <row r="7" spans="1:6" ht="15" customHeight="1">
      <c r="A7" s="2">
        <v>41789</v>
      </c>
      <c r="B7" s="7" t="s">
        <v>9</v>
      </c>
      <c r="C7" s="7">
        <v>131</v>
      </c>
      <c r="D7" s="3">
        <f>C7*(3.68+0.22)</f>
        <v>510.90000000000003</v>
      </c>
      <c r="E7" s="3"/>
      <c r="F7" s="8"/>
    </row>
    <row r="8" spans="1:6" ht="15" customHeight="1">
      <c r="A8" s="2">
        <v>41789</v>
      </c>
      <c r="B8" s="7" t="s">
        <v>10</v>
      </c>
      <c r="C8" s="7">
        <v>16</v>
      </c>
      <c r="D8" s="3">
        <f>C8*(3.68+0.22)</f>
        <v>62.400000000000006</v>
      </c>
      <c r="E8" s="3"/>
      <c r="F8" s="8"/>
    </row>
    <row r="9" spans="1:6" ht="15" customHeight="1">
      <c r="A9" s="2">
        <v>41789</v>
      </c>
      <c r="B9" s="7" t="s">
        <v>11</v>
      </c>
      <c r="C9" s="7"/>
      <c r="D9" s="3"/>
      <c r="E9" s="3">
        <f>0.9*2</f>
        <v>1.8</v>
      </c>
      <c r="F9" s="8"/>
    </row>
    <row r="10" spans="1:6" ht="15" customHeight="1">
      <c r="A10" s="2">
        <v>41789</v>
      </c>
      <c r="B10" s="7" t="s">
        <v>98</v>
      </c>
      <c r="C10" s="7"/>
      <c r="D10" s="3"/>
      <c r="E10" s="3">
        <f>46.95+43.92</f>
        <v>90.87</v>
      </c>
      <c r="F10" s="8"/>
    </row>
    <row r="11" spans="1:6" ht="15" customHeight="1">
      <c r="A11" s="2">
        <v>41789</v>
      </c>
      <c r="B11" s="7" t="s">
        <v>13</v>
      </c>
      <c r="C11" s="7">
        <v>153</v>
      </c>
      <c r="D11" s="3"/>
      <c r="E11" s="3">
        <f>C11*0.22</f>
        <v>33.660000000000004</v>
      </c>
      <c r="F11" s="8"/>
    </row>
    <row r="12" spans="1:6" ht="15" customHeight="1">
      <c r="A12" s="2">
        <v>41789</v>
      </c>
      <c r="B12" s="7" t="s">
        <v>14</v>
      </c>
      <c r="C12" s="7">
        <v>131</v>
      </c>
      <c r="D12" s="3"/>
      <c r="E12" s="3">
        <f t="shared" ref="E12:E13" si="0">C12*0.22</f>
        <v>28.82</v>
      </c>
      <c r="F12" s="8"/>
    </row>
    <row r="13" spans="1:6" ht="15" customHeight="1">
      <c r="A13" s="2">
        <v>41789</v>
      </c>
      <c r="B13" s="7" t="s">
        <v>15</v>
      </c>
      <c r="C13" s="7">
        <v>16</v>
      </c>
      <c r="D13" s="3"/>
      <c r="E13" s="3">
        <f t="shared" si="0"/>
        <v>3.52</v>
      </c>
      <c r="F13" s="8"/>
    </row>
    <row r="14" spans="1:6" ht="15" customHeight="1">
      <c r="A14" s="2">
        <v>41789</v>
      </c>
      <c r="B14" s="7" t="s">
        <v>22</v>
      </c>
      <c r="C14" s="7" t="s">
        <v>102</v>
      </c>
      <c r="D14" s="3"/>
      <c r="E14" s="3">
        <v>388.2</v>
      </c>
      <c r="F14" s="8"/>
    </row>
    <row r="15" spans="1:6" ht="15" customHeight="1" thickBot="1">
      <c r="A15" s="4" t="s">
        <v>27</v>
      </c>
      <c r="B15" s="9"/>
      <c r="C15" s="9"/>
      <c r="D15" s="5">
        <f>SUM(D2:D14)</f>
        <v>2814.9000000000005</v>
      </c>
      <c r="E15" s="5">
        <f>SUM(E2:E14)</f>
        <v>546.87</v>
      </c>
      <c r="F15" s="6">
        <f>D15-E15</f>
        <v>2268.0300000000007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Plan1"/>
  <dimension ref="A1:D24"/>
  <sheetViews>
    <sheetView tabSelected="1" workbookViewId="0">
      <selection activeCell="B23" sqref="B23"/>
    </sheetView>
  </sheetViews>
  <sheetFormatPr defaultRowHeight="15"/>
  <cols>
    <col min="1" max="1" width="10.42578125" bestFit="1" customWidth="1"/>
    <col min="2" max="3" width="9" bestFit="1" customWidth="1"/>
    <col min="4" max="4" width="14" bestFit="1" customWidth="1"/>
  </cols>
  <sheetData>
    <row r="1" spans="1:4" ht="15.75" thickTop="1">
      <c r="A1" s="10" t="s">
        <v>0</v>
      </c>
      <c r="B1" s="10" t="s">
        <v>3</v>
      </c>
      <c r="C1" s="10" t="s">
        <v>4</v>
      </c>
      <c r="D1" s="10" t="s">
        <v>5</v>
      </c>
    </row>
    <row r="2" spans="1:4">
      <c r="A2" s="11">
        <v>41761</v>
      </c>
      <c r="B2" s="15">
        <f>'2'!D14</f>
        <v>4892.7199999999993</v>
      </c>
      <c r="C2" s="15">
        <f>'2'!E14</f>
        <v>5239.45</v>
      </c>
      <c r="D2" s="15">
        <f>B2-C2</f>
        <v>-346.73000000000047</v>
      </c>
    </row>
    <row r="3" spans="1:4">
      <c r="A3" s="11">
        <v>41764</v>
      </c>
      <c r="B3" s="15">
        <f>'5'!D13</f>
        <v>1169.3399999999999</v>
      </c>
      <c r="C3" s="15">
        <f>'5'!E13</f>
        <v>149</v>
      </c>
      <c r="D3" s="15">
        <f t="shared" ref="D3:D21" si="0">B3-C3</f>
        <v>1020.3399999999999</v>
      </c>
    </row>
    <row r="4" spans="1:4">
      <c r="A4" s="11">
        <v>41765</v>
      </c>
      <c r="B4" s="15">
        <f>'5'!D13</f>
        <v>1169.3399999999999</v>
      </c>
      <c r="C4" s="15">
        <f>'5'!E13</f>
        <v>149</v>
      </c>
      <c r="D4" s="15">
        <f t="shared" si="0"/>
        <v>1020.3399999999999</v>
      </c>
    </row>
    <row r="5" spans="1:4">
      <c r="A5" s="11">
        <v>41766</v>
      </c>
      <c r="B5" s="15">
        <f>'7'!D15</f>
        <v>3771.6099999999997</v>
      </c>
      <c r="C5" s="15">
        <f>'7'!E15</f>
        <v>501.15000000000003</v>
      </c>
      <c r="D5" s="15">
        <f t="shared" si="0"/>
        <v>3270.4599999999996</v>
      </c>
    </row>
    <row r="6" spans="1:4">
      <c r="A6" s="11">
        <v>41767</v>
      </c>
      <c r="B6" s="15">
        <f>'8'!D14</f>
        <v>1492.7600000000002</v>
      </c>
      <c r="C6" s="15">
        <f>'8'!E14</f>
        <v>84.289999999999992</v>
      </c>
      <c r="D6" s="15">
        <f t="shared" si="0"/>
        <v>1408.4700000000003</v>
      </c>
    </row>
    <row r="7" spans="1:4">
      <c r="A7" s="11">
        <v>41768</v>
      </c>
      <c r="B7" s="15">
        <f>'9'!D22</f>
        <v>2661.9900000000002</v>
      </c>
      <c r="C7" s="15">
        <f>'9'!E22</f>
        <v>150.39000000000001</v>
      </c>
      <c r="D7" s="15">
        <f t="shared" si="0"/>
        <v>2511.6000000000004</v>
      </c>
    </row>
    <row r="8" spans="1:4">
      <c r="A8" s="11">
        <v>41771</v>
      </c>
      <c r="B8" s="15">
        <f>'12'!D18</f>
        <v>1638.2500000000002</v>
      </c>
      <c r="C8" s="15">
        <f>'12'!E18</f>
        <v>2810.22</v>
      </c>
      <c r="D8" s="15">
        <f t="shared" si="0"/>
        <v>-1171.9699999999996</v>
      </c>
    </row>
    <row r="9" spans="1:4">
      <c r="A9" s="11">
        <v>41772</v>
      </c>
      <c r="B9" s="15">
        <f>'13'!D14</f>
        <v>1235.52</v>
      </c>
      <c r="C9" s="15">
        <f>'13'!E14</f>
        <v>69.669999999999987</v>
      </c>
      <c r="D9" s="15">
        <f t="shared" si="0"/>
        <v>1165.8499999999999</v>
      </c>
    </row>
    <row r="10" spans="1:4">
      <c r="A10" s="11">
        <v>41773</v>
      </c>
      <c r="B10" s="15">
        <f>'14'!D20</f>
        <v>2339.5</v>
      </c>
      <c r="C10" s="15">
        <f>'14'!E20</f>
        <v>971.31999999999994</v>
      </c>
      <c r="D10" s="15">
        <f t="shared" si="0"/>
        <v>1368.18</v>
      </c>
    </row>
    <row r="11" spans="1:4">
      <c r="A11" s="11">
        <v>41774</v>
      </c>
      <c r="B11" s="15">
        <f>'15'!D13</f>
        <v>2621.1000000000004</v>
      </c>
      <c r="C11" s="15">
        <f>'15'!E13</f>
        <v>158.07999999999998</v>
      </c>
      <c r="D11" s="15">
        <f t="shared" si="0"/>
        <v>2463.0200000000004</v>
      </c>
    </row>
    <row r="12" spans="1:4">
      <c r="A12" s="11">
        <v>41775</v>
      </c>
      <c r="B12" s="15">
        <f>'16'!D15</f>
        <v>1098.9700000000003</v>
      </c>
      <c r="C12" s="15">
        <f>'16'!E15</f>
        <v>87.91</v>
      </c>
      <c r="D12" s="15">
        <f t="shared" si="0"/>
        <v>1011.0600000000003</v>
      </c>
    </row>
    <row r="13" spans="1:4">
      <c r="A13" s="11">
        <v>41778</v>
      </c>
      <c r="B13" s="15">
        <f>'19'!D14</f>
        <v>1132.98</v>
      </c>
      <c r="C13" s="15">
        <f>'19'!E14</f>
        <v>535.30999999999995</v>
      </c>
      <c r="D13" s="15">
        <f t="shared" si="0"/>
        <v>597.67000000000007</v>
      </c>
    </row>
    <row r="14" spans="1:4">
      <c r="A14" s="11">
        <v>41779</v>
      </c>
      <c r="B14" s="15">
        <f>'20'!D22</f>
        <v>3861.7999999999997</v>
      </c>
      <c r="C14" s="15">
        <f>'20'!E22</f>
        <v>1369.6399999999999</v>
      </c>
      <c r="D14" s="15">
        <f t="shared" si="0"/>
        <v>2492.16</v>
      </c>
    </row>
    <row r="15" spans="1:4">
      <c r="A15" s="11">
        <v>41780</v>
      </c>
      <c r="B15" s="15">
        <f>'21'!D12</f>
        <v>2413.87</v>
      </c>
      <c r="C15" s="15">
        <f>'21'!E12</f>
        <v>136.37000000000003</v>
      </c>
      <c r="D15" s="15">
        <f t="shared" si="0"/>
        <v>2277.5</v>
      </c>
    </row>
    <row r="16" spans="1:4">
      <c r="A16" s="11">
        <v>41781</v>
      </c>
      <c r="B16" s="15">
        <f>'22'!D12</f>
        <v>922.2600000000001</v>
      </c>
      <c r="C16" s="15">
        <f>'22'!E12</f>
        <v>52.050000000000004</v>
      </c>
      <c r="D16" s="15">
        <f t="shared" si="0"/>
        <v>870.21000000000015</v>
      </c>
    </row>
    <row r="17" spans="1:4">
      <c r="A17" s="11">
        <v>41782</v>
      </c>
      <c r="B17" s="15">
        <f>'23'!D17</f>
        <v>7257.2900000000009</v>
      </c>
      <c r="C17" s="15">
        <f>'23'!E17</f>
        <v>409.90000000000003</v>
      </c>
      <c r="D17" s="15">
        <f t="shared" si="0"/>
        <v>6847.3900000000012</v>
      </c>
    </row>
    <row r="18" spans="1:4">
      <c r="A18" s="11">
        <v>41785</v>
      </c>
      <c r="B18" s="15">
        <f>'26'!D15</f>
        <v>1368.75</v>
      </c>
      <c r="C18" s="15">
        <f>'26'!E15</f>
        <v>78.419999999999987</v>
      </c>
      <c r="D18" s="15">
        <f t="shared" si="0"/>
        <v>1290.33</v>
      </c>
    </row>
    <row r="19" spans="1:4">
      <c r="A19" s="11">
        <v>41786</v>
      </c>
      <c r="B19" s="15">
        <f>'27'!D12</f>
        <v>1561.3700000000003</v>
      </c>
      <c r="C19" s="15">
        <f>'27'!E12</f>
        <v>88.12</v>
      </c>
      <c r="D19" s="15">
        <f t="shared" si="0"/>
        <v>1473.2500000000005</v>
      </c>
    </row>
    <row r="20" spans="1:4">
      <c r="A20" s="11">
        <v>41787</v>
      </c>
      <c r="B20" s="15">
        <f>'28'!D13</f>
        <v>1466.21</v>
      </c>
      <c r="C20" s="15">
        <f>'28'!E13</f>
        <v>92.68</v>
      </c>
      <c r="D20" s="15">
        <f t="shared" si="0"/>
        <v>1373.53</v>
      </c>
    </row>
    <row r="21" spans="1:4">
      <c r="A21" s="11">
        <v>41788</v>
      </c>
      <c r="B21" s="15">
        <f>'29'!D12</f>
        <v>4014.3599999999997</v>
      </c>
      <c r="C21" s="15">
        <f>'29'!E12</f>
        <v>226.83</v>
      </c>
      <c r="D21" s="15">
        <f t="shared" si="0"/>
        <v>3787.5299999999997</v>
      </c>
    </row>
    <row r="22" spans="1:4">
      <c r="A22" s="11">
        <v>41789</v>
      </c>
      <c r="B22" s="15">
        <f>'30'!D15</f>
        <v>2814.9000000000005</v>
      </c>
      <c r="C22" s="15">
        <f>'30'!E15</f>
        <v>546.87</v>
      </c>
      <c r="D22" s="15">
        <f t="shared" ref="D22" si="1">B22-C22</f>
        <v>2268.0300000000007</v>
      </c>
    </row>
    <row r="23" spans="1:4" ht="15.75" thickBot="1">
      <c r="A23" s="13" t="s">
        <v>27</v>
      </c>
      <c r="B23" s="14">
        <f>SUM(B2:B21)</f>
        <v>48089.99</v>
      </c>
      <c r="C23" s="14">
        <f>SUM(C2:C21)</f>
        <v>13359.8</v>
      </c>
      <c r="D23" s="14">
        <f t="shared" ref="D23" si="2">B23-C23</f>
        <v>34730.19</v>
      </c>
    </row>
    <row r="24" spans="1:4" ht="15.75" thickTop="1"/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5"/>
  <dimension ref="A1:F17"/>
  <sheetViews>
    <sheetView workbookViewId="0">
      <selection activeCell="C8" sqref="C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41765</v>
      </c>
      <c r="B2" s="7" t="s">
        <v>6</v>
      </c>
      <c r="C2" s="7" t="s">
        <v>31</v>
      </c>
      <c r="D2" s="3">
        <f>71.43+4.29</f>
        <v>75.720000000000013</v>
      </c>
      <c r="E2" s="3"/>
      <c r="F2" s="8"/>
    </row>
    <row r="3" spans="1:6" ht="15" customHeight="1">
      <c r="A3" s="2">
        <v>41765</v>
      </c>
      <c r="B3" s="7" t="s">
        <v>6</v>
      </c>
      <c r="C3" s="7" t="s">
        <v>32</v>
      </c>
      <c r="D3" s="3">
        <f>71.43+4.29</f>
        <v>75.720000000000013</v>
      </c>
      <c r="E3" s="3"/>
      <c r="F3" s="8"/>
    </row>
    <row r="4" spans="1:6" ht="15" customHeight="1">
      <c r="A4" s="2">
        <v>41765</v>
      </c>
      <c r="B4" s="7" t="s">
        <v>6</v>
      </c>
      <c r="C4" s="7" t="s">
        <v>33</v>
      </c>
      <c r="D4" s="3">
        <f>71.43+4.29</f>
        <v>75.720000000000013</v>
      </c>
      <c r="E4" s="3"/>
      <c r="F4" s="8"/>
    </row>
    <row r="5" spans="1:6" ht="15" customHeight="1">
      <c r="A5" s="2">
        <v>41765</v>
      </c>
      <c r="B5" s="7" t="s">
        <v>6</v>
      </c>
      <c r="C5" s="7" t="s">
        <v>34</v>
      </c>
      <c r="D5" s="3">
        <f>63.43+3.76</f>
        <v>67.19</v>
      </c>
      <c r="E5" s="3"/>
      <c r="F5" s="8"/>
    </row>
    <row r="6" spans="1:6" ht="15" customHeight="1">
      <c r="A6" s="2">
        <v>41765</v>
      </c>
      <c r="B6" s="7" t="s">
        <v>71</v>
      </c>
      <c r="C6" s="12" t="s">
        <v>73</v>
      </c>
      <c r="D6" s="3">
        <f>28.24+1.69</f>
        <v>29.93</v>
      </c>
      <c r="E6" s="3"/>
      <c r="F6" s="8"/>
    </row>
    <row r="7" spans="1:6" ht="15" customHeight="1">
      <c r="A7" s="2">
        <v>41765</v>
      </c>
      <c r="B7" s="7" t="s">
        <v>7</v>
      </c>
      <c r="C7">
        <v>1</v>
      </c>
      <c r="D7" s="7">
        <f>13.05+0.78</f>
        <v>13.83</v>
      </c>
      <c r="E7" s="3"/>
      <c r="F7" s="8"/>
    </row>
    <row r="8" spans="1:6" ht="15" customHeight="1">
      <c r="A8" s="2">
        <v>41765</v>
      </c>
      <c r="B8" s="7" t="s">
        <v>8</v>
      </c>
      <c r="C8" s="7">
        <v>143</v>
      </c>
      <c r="D8" s="3">
        <f>C8*3.68</f>
        <v>526.24</v>
      </c>
      <c r="E8" s="3"/>
      <c r="F8" s="8"/>
    </row>
    <row r="9" spans="1:6" ht="15" customHeight="1">
      <c r="A9" s="2">
        <v>41765</v>
      </c>
      <c r="B9" s="7" t="s">
        <v>9</v>
      </c>
      <c r="C9" s="7">
        <v>69</v>
      </c>
      <c r="D9" s="3">
        <f t="shared" ref="D9:D10" si="0">C9*3.68</f>
        <v>253.92000000000002</v>
      </c>
      <c r="E9" s="3"/>
      <c r="F9" s="8"/>
    </row>
    <row r="10" spans="1:6" ht="15" customHeight="1">
      <c r="A10" s="2">
        <v>41765</v>
      </c>
      <c r="B10" s="7" t="s">
        <v>10</v>
      </c>
      <c r="C10" s="7">
        <v>7</v>
      </c>
      <c r="D10" s="3">
        <f t="shared" si="0"/>
        <v>25.76</v>
      </c>
      <c r="E10" s="3"/>
      <c r="F10" s="8"/>
    </row>
    <row r="11" spans="1:6" ht="15" customHeight="1">
      <c r="A11" s="2">
        <v>41765</v>
      </c>
      <c r="B11" s="7" t="s">
        <v>11</v>
      </c>
      <c r="C11" s="7"/>
      <c r="D11" s="3"/>
      <c r="E11" s="3">
        <f>4.29*3+3.76</f>
        <v>16.630000000000003</v>
      </c>
      <c r="F11" s="8"/>
    </row>
    <row r="12" spans="1:6" ht="15" customHeight="1">
      <c r="A12" s="2">
        <v>41765</v>
      </c>
      <c r="B12" s="7" t="s">
        <v>98</v>
      </c>
      <c r="C12" s="7"/>
      <c r="D12" s="3"/>
      <c r="E12" s="3">
        <v>1.69</v>
      </c>
      <c r="F12" s="8"/>
    </row>
    <row r="13" spans="1:6" ht="15" customHeight="1">
      <c r="A13" s="2">
        <v>41765</v>
      </c>
      <c r="B13" s="7" t="s">
        <v>12</v>
      </c>
      <c r="C13">
        <v>1</v>
      </c>
      <c r="D13" s="7"/>
      <c r="E13" s="7">
        <v>0.78</v>
      </c>
      <c r="F13" s="8"/>
    </row>
    <row r="14" spans="1:6" ht="15" customHeight="1">
      <c r="A14" s="2">
        <v>41765</v>
      </c>
      <c r="B14" s="7" t="s">
        <v>13</v>
      </c>
      <c r="C14" s="7">
        <v>143</v>
      </c>
      <c r="D14" s="3"/>
      <c r="E14" s="3">
        <f>C14*0.22</f>
        <v>31.46</v>
      </c>
      <c r="F14" s="8"/>
    </row>
    <row r="15" spans="1:6" ht="15" customHeight="1">
      <c r="A15" s="2">
        <v>41765</v>
      </c>
      <c r="B15" s="7" t="s">
        <v>14</v>
      </c>
      <c r="C15" s="7">
        <v>69</v>
      </c>
      <c r="D15" s="3"/>
      <c r="E15" s="3">
        <f t="shared" ref="E15:E16" si="1">C15*0.22</f>
        <v>15.18</v>
      </c>
      <c r="F15" s="8"/>
    </row>
    <row r="16" spans="1:6" ht="15" customHeight="1">
      <c r="A16" s="2">
        <v>41765</v>
      </c>
      <c r="B16" s="7" t="s">
        <v>15</v>
      </c>
      <c r="C16" s="7">
        <v>7</v>
      </c>
      <c r="D16" s="3"/>
      <c r="E16" s="3">
        <f t="shared" si="1"/>
        <v>1.54</v>
      </c>
      <c r="F16" s="8"/>
    </row>
    <row r="17" spans="1:6" ht="15" customHeight="1" thickBot="1">
      <c r="A17" s="4" t="s">
        <v>27</v>
      </c>
      <c r="B17" s="9"/>
      <c r="C17" s="9"/>
      <c r="D17" s="5">
        <f>SUM(D2:D16)</f>
        <v>1144.03</v>
      </c>
      <c r="E17" s="5">
        <f>SUM(E2:E16)</f>
        <v>67.280000000000015</v>
      </c>
      <c r="F17" s="6">
        <f>D17-E17</f>
        <v>1076.75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4"/>
  <dimension ref="A1:F15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41766</v>
      </c>
      <c r="B2" s="7" t="s">
        <v>6</v>
      </c>
      <c r="C2" s="7" t="s">
        <v>35</v>
      </c>
      <c r="D2" s="3">
        <f>15.03+0.9</f>
        <v>15.93</v>
      </c>
      <c r="E2" s="3"/>
      <c r="F2" s="8"/>
    </row>
    <row r="3" spans="1:6" ht="15" customHeight="1">
      <c r="A3" s="2">
        <v>41766</v>
      </c>
      <c r="B3" s="7" t="s">
        <v>71</v>
      </c>
      <c r="C3" s="12" t="s">
        <v>74</v>
      </c>
      <c r="D3" s="3">
        <f>2739.33+164.23</f>
        <v>2903.56</v>
      </c>
      <c r="E3" s="3"/>
      <c r="F3" s="8"/>
    </row>
    <row r="4" spans="1:6" ht="15" customHeight="1">
      <c r="A4" s="2">
        <v>41766</v>
      </c>
      <c r="B4" s="7" t="s">
        <v>7</v>
      </c>
      <c r="C4">
        <v>2</v>
      </c>
      <c r="D4" s="7">
        <f>(13.05+0.78)*2</f>
        <v>27.66</v>
      </c>
      <c r="E4" s="3"/>
      <c r="F4" s="8"/>
    </row>
    <row r="5" spans="1:6" ht="15" customHeight="1">
      <c r="A5" s="2">
        <v>41766</v>
      </c>
      <c r="B5" s="7" t="s">
        <v>8</v>
      </c>
      <c r="C5" s="7">
        <v>118</v>
      </c>
      <c r="D5" s="3">
        <f>C5*(3.68+0.22)</f>
        <v>460.20000000000005</v>
      </c>
      <c r="E5" s="3"/>
      <c r="F5" s="8"/>
    </row>
    <row r="6" spans="1:6" ht="15" customHeight="1">
      <c r="A6" s="2">
        <v>41766</v>
      </c>
      <c r="B6" s="7" t="s">
        <v>9</v>
      </c>
      <c r="C6" s="7">
        <v>87</v>
      </c>
      <c r="D6" s="3">
        <f>C6*(3.68+0.22)</f>
        <v>339.3</v>
      </c>
      <c r="E6" s="3"/>
      <c r="F6" s="8"/>
    </row>
    <row r="7" spans="1:6" ht="15" customHeight="1">
      <c r="A7" s="2">
        <v>41766</v>
      </c>
      <c r="B7" s="7" t="s">
        <v>10</v>
      </c>
      <c r="C7" s="7">
        <v>6</v>
      </c>
      <c r="D7" s="3">
        <f>C7*(3.68+0.22)</f>
        <v>23.400000000000002</v>
      </c>
      <c r="E7" s="3"/>
      <c r="F7" s="8"/>
    </row>
    <row r="8" spans="1:6" ht="15" customHeight="1">
      <c r="A8" s="2">
        <v>41766</v>
      </c>
      <c r="B8" s="7" t="s">
        <v>11</v>
      </c>
      <c r="C8" s="7"/>
      <c r="D8" s="3"/>
      <c r="E8" s="3">
        <v>0.9</v>
      </c>
      <c r="F8" s="8"/>
    </row>
    <row r="9" spans="1:6" ht="15" customHeight="1">
      <c r="A9" s="2">
        <v>41766</v>
      </c>
      <c r="B9" s="7" t="s">
        <v>98</v>
      </c>
      <c r="C9" s="7"/>
      <c r="D9" s="3"/>
      <c r="E9" s="3">
        <v>164.23</v>
      </c>
      <c r="F9" s="8"/>
    </row>
    <row r="10" spans="1:6" ht="15" customHeight="1">
      <c r="A10" s="2">
        <v>41766</v>
      </c>
      <c r="B10" s="7" t="s">
        <v>12</v>
      </c>
      <c r="C10">
        <v>2</v>
      </c>
      <c r="D10" s="7">
        <f>0.78*2</f>
        <v>1.56</v>
      </c>
      <c r="E10" s="3"/>
      <c r="F10" s="8"/>
    </row>
    <row r="11" spans="1:6" ht="15" customHeight="1">
      <c r="A11" s="2">
        <v>41766</v>
      </c>
      <c r="B11" s="7" t="s">
        <v>13</v>
      </c>
      <c r="C11" s="7">
        <v>118</v>
      </c>
      <c r="D11" s="3"/>
      <c r="E11" s="3">
        <f>C11*0.22</f>
        <v>25.96</v>
      </c>
      <c r="F11" s="8"/>
    </row>
    <row r="12" spans="1:6" ht="15" customHeight="1">
      <c r="A12" s="2">
        <v>41766</v>
      </c>
      <c r="B12" s="7" t="s">
        <v>14</v>
      </c>
      <c r="C12" s="7">
        <v>87</v>
      </c>
      <c r="D12" s="3"/>
      <c r="E12" s="3">
        <f t="shared" ref="E12" si="0">C12*0.22</f>
        <v>19.14</v>
      </c>
      <c r="F12" s="8"/>
    </row>
    <row r="13" spans="1:6" ht="15" customHeight="1">
      <c r="A13" s="2">
        <v>41766</v>
      </c>
      <c r="B13" s="7" t="s">
        <v>15</v>
      </c>
      <c r="C13" s="7">
        <v>6</v>
      </c>
      <c r="D13" s="3"/>
      <c r="E13" s="3">
        <f t="shared" ref="E13" si="1">C13*0.22</f>
        <v>1.32</v>
      </c>
      <c r="F13" s="8"/>
    </row>
    <row r="14" spans="1:6" ht="15" customHeight="1">
      <c r="A14" s="2">
        <v>41766</v>
      </c>
      <c r="B14" s="7" t="s">
        <v>109</v>
      </c>
      <c r="C14" s="7"/>
      <c r="D14" s="3"/>
      <c r="E14" s="3">
        <v>289.60000000000002</v>
      </c>
      <c r="F14" s="8"/>
    </row>
    <row r="15" spans="1:6" ht="15" customHeight="1" thickBot="1">
      <c r="A15" s="4" t="s">
        <v>27</v>
      </c>
      <c r="B15" s="9"/>
      <c r="C15" s="9"/>
      <c r="D15" s="5">
        <f>SUM(D2:D14)</f>
        <v>3771.6099999999997</v>
      </c>
      <c r="E15" s="5">
        <f>SUM(E2:E14)</f>
        <v>501.15000000000003</v>
      </c>
      <c r="F15" s="6">
        <f>D15-E15</f>
        <v>3270.4599999999996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3"/>
  <dimension ref="A1:F14"/>
  <sheetViews>
    <sheetView workbookViewId="0">
      <selection activeCell="A14" sqref="A14:XFD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41767</v>
      </c>
      <c r="B2" s="7" t="s">
        <v>6</v>
      </c>
      <c r="C2" s="7" t="s">
        <v>36</v>
      </c>
      <c r="D2" s="3">
        <f>71.43+4.29</f>
        <v>75.720000000000013</v>
      </c>
      <c r="E2" s="3"/>
      <c r="F2" s="8"/>
    </row>
    <row r="3" spans="1:6" ht="15" customHeight="1">
      <c r="A3" s="2">
        <v>41767</v>
      </c>
      <c r="B3" s="7" t="s">
        <v>6</v>
      </c>
      <c r="C3" s="7" t="s">
        <v>37</v>
      </c>
      <c r="D3" s="3">
        <f>71.43+4.29</f>
        <v>75.720000000000013</v>
      </c>
      <c r="E3" s="3"/>
      <c r="F3" s="8"/>
    </row>
    <row r="4" spans="1:6" ht="15" customHeight="1">
      <c r="A4" s="2">
        <v>41767</v>
      </c>
      <c r="B4" s="7" t="s">
        <v>6</v>
      </c>
      <c r="C4" s="7" t="s">
        <v>38</v>
      </c>
      <c r="D4" s="3">
        <f>71.43+4.29</f>
        <v>75.720000000000013</v>
      </c>
      <c r="E4" s="3"/>
      <c r="F4" s="8"/>
    </row>
    <row r="5" spans="1:6" ht="15" customHeight="1">
      <c r="A5" s="2">
        <v>41767</v>
      </c>
      <c r="B5" s="7" t="s">
        <v>71</v>
      </c>
      <c r="C5" s="12" t="s">
        <v>75</v>
      </c>
      <c r="D5" s="3">
        <f>351.46+21.04</f>
        <v>372.5</v>
      </c>
      <c r="E5" s="3"/>
      <c r="F5" s="8"/>
    </row>
    <row r="6" spans="1:6" ht="15" customHeight="1">
      <c r="A6" s="2">
        <v>41767</v>
      </c>
      <c r="B6" s="7" t="s">
        <v>8</v>
      </c>
      <c r="C6" s="7">
        <v>114</v>
      </c>
      <c r="D6" s="3">
        <f>C6*(3.68+0.22)</f>
        <v>444.6</v>
      </c>
      <c r="E6" s="3"/>
      <c r="F6" s="8"/>
    </row>
    <row r="7" spans="1:6" ht="15" customHeight="1">
      <c r="A7" s="2">
        <v>41767</v>
      </c>
      <c r="B7" s="7" t="s">
        <v>9</v>
      </c>
      <c r="C7" s="7">
        <v>102</v>
      </c>
      <c r="D7" s="3">
        <f>C7*(3.68+0.22)</f>
        <v>397.8</v>
      </c>
      <c r="E7" s="3"/>
      <c r="F7" s="8"/>
    </row>
    <row r="8" spans="1:6" ht="15" customHeight="1">
      <c r="A8" s="2">
        <v>41767</v>
      </c>
      <c r="B8" s="7" t="s">
        <v>10</v>
      </c>
      <c r="C8" s="7">
        <v>13</v>
      </c>
      <c r="D8" s="3">
        <f>C8*(3.68+0.22)</f>
        <v>50.7</v>
      </c>
      <c r="E8" s="3"/>
      <c r="F8" s="8"/>
    </row>
    <row r="9" spans="1:6" ht="15" customHeight="1">
      <c r="A9" s="2">
        <v>41767</v>
      </c>
      <c r="B9" s="7" t="s">
        <v>11</v>
      </c>
      <c r="C9" s="7"/>
      <c r="D9" s="3"/>
      <c r="E9" s="3">
        <f>4.29*3</f>
        <v>12.870000000000001</v>
      </c>
      <c r="F9" s="8"/>
    </row>
    <row r="10" spans="1:6" ht="15" customHeight="1">
      <c r="A10" s="2">
        <v>41767</v>
      </c>
      <c r="B10" s="7" t="s">
        <v>98</v>
      </c>
      <c r="C10" s="7"/>
      <c r="D10" s="3"/>
      <c r="E10" s="3">
        <v>21.04</v>
      </c>
      <c r="F10" s="8"/>
    </row>
    <row r="11" spans="1:6" ht="15" customHeight="1">
      <c r="A11" s="2">
        <v>41767</v>
      </c>
      <c r="B11" s="7" t="s">
        <v>13</v>
      </c>
      <c r="C11" s="7">
        <v>114</v>
      </c>
      <c r="D11" s="3"/>
      <c r="E11" s="3">
        <f>C11*0.22</f>
        <v>25.080000000000002</v>
      </c>
      <c r="F11" s="8"/>
    </row>
    <row r="12" spans="1:6" ht="15" customHeight="1">
      <c r="A12" s="2">
        <v>41767</v>
      </c>
      <c r="B12" s="7" t="s">
        <v>14</v>
      </c>
      <c r="C12" s="7">
        <v>102</v>
      </c>
      <c r="D12" s="3"/>
      <c r="E12" s="3">
        <f t="shared" ref="E12:E13" si="0">C12*0.22</f>
        <v>22.44</v>
      </c>
      <c r="F12" s="8"/>
    </row>
    <row r="13" spans="1:6" ht="15" customHeight="1">
      <c r="A13" s="2">
        <v>41767</v>
      </c>
      <c r="B13" s="7" t="s">
        <v>15</v>
      </c>
      <c r="C13" s="7">
        <v>13</v>
      </c>
      <c r="D13" s="3"/>
      <c r="E13" s="3">
        <f t="shared" si="0"/>
        <v>2.86</v>
      </c>
      <c r="F13" s="8"/>
    </row>
    <row r="14" spans="1:6" ht="15" customHeight="1" thickBot="1">
      <c r="A14" s="4" t="s">
        <v>27</v>
      </c>
      <c r="B14" s="9"/>
      <c r="C14" s="9"/>
      <c r="D14" s="5">
        <f>SUM(D2:D13)</f>
        <v>1492.7600000000002</v>
      </c>
      <c r="E14" s="5">
        <f>SUM(E2:E13)</f>
        <v>84.289999999999992</v>
      </c>
      <c r="F14" s="6">
        <f>D14-E14</f>
        <v>1408.4700000000003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0"/>
  <dimension ref="A1:F22"/>
  <sheetViews>
    <sheetView workbookViewId="0">
      <selection activeCell="B20" sqref="B2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41768</v>
      </c>
      <c r="B2" s="7" t="s">
        <v>6</v>
      </c>
      <c r="C2" s="7" t="s">
        <v>39</v>
      </c>
      <c r="D2" s="3">
        <f t="shared" ref="D2:D10" si="0">71.43+4.29</f>
        <v>75.720000000000013</v>
      </c>
      <c r="E2" s="3"/>
      <c r="F2" s="8"/>
    </row>
    <row r="3" spans="1:6" ht="15" customHeight="1">
      <c r="A3" s="2">
        <v>41768</v>
      </c>
      <c r="B3" s="7" t="s">
        <v>6</v>
      </c>
      <c r="C3" s="7" t="s">
        <v>40</v>
      </c>
      <c r="D3" s="3">
        <f t="shared" si="0"/>
        <v>75.720000000000013</v>
      </c>
      <c r="E3" s="3"/>
      <c r="F3" s="8"/>
    </row>
    <row r="4" spans="1:6" ht="15" customHeight="1">
      <c r="A4" s="2">
        <v>41768</v>
      </c>
      <c r="B4" s="7" t="s">
        <v>6</v>
      </c>
      <c r="C4" s="7" t="s">
        <v>41</v>
      </c>
      <c r="D4" s="3">
        <f t="shared" si="0"/>
        <v>75.720000000000013</v>
      </c>
      <c r="E4" s="3"/>
      <c r="F4" s="8"/>
    </row>
    <row r="5" spans="1:6" ht="15" customHeight="1">
      <c r="A5" s="2">
        <v>41768</v>
      </c>
      <c r="B5" s="7" t="s">
        <v>6</v>
      </c>
      <c r="C5" s="7" t="s">
        <v>42</v>
      </c>
      <c r="D5" s="3">
        <f t="shared" si="0"/>
        <v>75.720000000000013</v>
      </c>
      <c r="E5" s="3"/>
      <c r="F5" s="8"/>
    </row>
    <row r="6" spans="1:6" ht="15" customHeight="1">
      <c r="A6" s="2">
        <v>41768</v>
      </c>
      <c r="B6" s="7" t="s">
        <v>6</v>
      </c>
      <c r="C6" s="7" t="s">
        <v>43</v>
      </c>
      <c r="D6" s="3">
        <f t="shared" si="0"/>
        <v>75.720000000000013</v>
      </c>
      <c r="E6" s="3"/>
      <c r="F6" s="8"/>
    </row>
    <row r="7" spans="1:6" ht="15" customHeight="1">
      <c r="A7" s="2">
        <v>41768</v>
      </c>
      <c r="B7" s="7" t="s">
        <v>6</v>
      </c>
      <c r="C7" s="7" t="s">
        <v>44</v>
      </c>
      <c r="D7" s="3">
        <f t="shared" si="0"/>
        <v>75.720000000000013</v>
      </c>
      <c r="E7" s="3"/>
      <c r="F7" s="8"/>
    </row>
    <row r="8" spans="1:6" ht="15" customHeight="1">
      <c r="A8" s="2">
        <v>41768</v>
      </c>
      <c r="B8" s="7" t="s">
        <v>6</v>
      </c>
      <c r="C8" s="7" t="s">
        <v>45</v>
      </c>
      <c r="D8" s="3">
        <f t="shared" si="0"/>
        <v>75.720000000000013</v>
      </c>
      <c r="E8" s="3"/>
      <c r="F8" s="8"/>
    </row>
    <row r="9" spans="1:6" ht="15" customHeight="1">
      <c r="A9" s="2">
        <v>41768</v>
      </c>
      <c r="B9" s="7" t="s">
        <v>6</v>
      </c>
      <c r="C9" s="7" t="s">
        <v>46</v>
      </c>
      <c r="D9" s="3">
        <f t="shared" si="0"/>
        <v>75.720000000000013</v>
      </c>
      <c r="E9" s="3"/>
      <c r="F9" s="8"/>
    </row>
    <row r="10" spans="1:6" ht="15" customHeight="1">
      <c r="A10" s="2">
        <v>41768</v>
      </c>
      <c r="B10" s="7" t="s">
        <v>6</v>
      </c>
      <c r="C10" s="7" t="s">
        <v>47</v>
      </c>
      <c r="D10" s="3">
        <f t="shared" si="0"/>
        <v>75.720000000000013</v>
      </c>
      <c r="E10" s="3"/>
      <c r="F10" s="8"/>
    </row>
    <row r="11" spans="1:6" ht="15" customHeight="1">
      <c r="A11" s="2">
        <v>41768</v>
      </c>
      <c r="B11" s="7" t="s">
        <v>71</v>
      </c>
      <c r="C11" s="12" t="s">
        <v>76</v>
      </c>
      <c r="D11" s="3">
        <f>685.44+41.04</f>
        <v>726.48</v>
      </c>
      <c r="E11" s="3"/>
      <c r="F11" s="8"/>
    </row>
    <row r="12" spans="1:6" ht="15" customHeight="1">
      <c r="A12" s="2">
        <v>41768</v>
      </c>
      <c r="B12" s="7" t="s">
        <v>7</v>
      </c>
      <c r="C12">
        <v>1</v>
      </c>
      <c r="D12" s="7">
        <f>13.05+0.78</f>
        <v>13.83</v>
      </c>
      <c r="E12" s="3"/>
      <c r="F12" s="8"/>
    </row>
    <row r="13" spans="1:6" ht="15" customHeight="1">
      <c r="A13" s="2">
        <v>41768</v>
      </c>
      <c r="B13" s="7" t="s">
        <v>8</v>
      </c>
      <c r="C13" s="7">
        <v>150</v>
      </c>
      <c r="D13" s="3">
        <f>C13*(3.68+0.22)</f>
        <v>585</v>
      </c>
      <c r="E13" s="3"/>
      <c r="F13" s="8"/>
    </row>
    <row r="14" spans="1:6" ht="15" customHeight="1">
      <c r="A14" s="2">
        <v>41768</v>
      </c>
      <c r="B14" s="7" t="s">
        <v>9</v>
      </c>
      <c r="C14" s="7">
        <v>161</v>
      </c>
      <c r="D14" s="3">
        <f>C14*(3.68+0.22)</f>
        <v>627.90000000000009</v>
      </c>
      <c r="E14" s="3"/>
      <c r="F14" s="8"/>
    </row>
    <row r="15" spans="1:6" ht="15" customHeight="1">
      <c r="A15" s="2">
        <v>41768</v>
      </c>
      <c r="B15" s="7" t="s">
        <v>10</v>
      </c>
      <c r="C15" s="7">
        <v>7</v>
      </c>
      <c r="D15" s="3">
        <f>C15*(3.68+0.22)</f>
        <v>27.300000000000004</v>
      </c>
      <c r="E15" s="3"/>
      <c r="F15" s="8"/>
    </row>
    <row r="16" spans="1:6" ht="15" customHeight="1">
      <c r="A16" s="2">
        <v>41768</v>
      </c>
      <c r="B16" s="7" t="s">
        <v>11</v>
      </c>
      <c r="C16" s="7"/>
      <c r="D16" s="3"/>
      <c r="E16" s="3">
        <f>4.29*9</f>
        <v>38.61</v>
      </c>
      <c r="F16" s="8"/>
    </row>
    <row r="17" spans="1:6" ht="15" customHeight="1">
      <c r="A17" s="2">
        <v>41768</v>
      </c>
      <c r="B17" s="7" t="s">
        <v>98</v>
      </c>
      <c r="C17" s="7"/>
      <c r="D17" s="3"/>
      <c r="E17" s="3">
        <v>41.04</v>
      </c>
      <c r="F17" s="8"/>
    </row>
    <row r="18" spans="1:6" ht="15" customHeight="1">
      <c r="A18" s="2">
        <v>41768</v>
      </c>
      <c r="B18" s="7" t="s">
        <v>12</v>
      </c>
      <c r="C18">
        <v>1</v>
      </c>
      <c r="D18" s="7"/>
      <c r="E18" s="7">
        <v>0.78</v>
      </c>
      <c r="F18" s="8"/>
    </row>
    <row r="19" spans="1:6" ht="15" customHeight="1">
      <c r="A19" s="2">
        <v>41768</v>
      </c>
      <c r="B19" s="7" t="s">
        <v>13</v>
      </c>
      <c r="C19" s="7">
        <v>150</v>
      </c>
      <c r="D19" s="3"/>
      <c r="E19" s="3">
        <f>C19*0.22</f>
        <v>33</v>
      </c>
      <c r="F19" s="8"/>
    </row>
    <row r="20" spans="1:6" ht="15" customHeight="1">
      <c r="A20" s="2">
        <v>41768</v>
      </c>
      <c r="B20" s="7" t="s">
        <v>14</v>
      </c>
      <c r="C20" s="7">
        <v>161</v>
      </c>
      <c r="D20" s="3"/>
      <c r="E20" s="3">
        <f t="shared" ref="E20:E21" si="1">C20*0.22</f>
        <v>35.42</v>
      </c>
      <c r="F20" s="8"/>
    </row>
    <row r="21" spans="1:6" ht="15" customHeight="1">
      <c r="A21" s="2">
        <v>41768</v>
      </c>
      <c r="B21" s="7" t="s">
        <v>15</v>
      </c>
      <c r="C21" s="7">
        <v>7</v>
      </c>
      <c r="D21" s="3"/>
      <c r="E21" s="3">
        <f t="shared" si="1"/>
        <v>1.54</v>
      </c>
      <c r="F21" s="8"/>
    </row>
    <row r="22" spans="1:6" ht="15" customHeight="1" thickBot="1">
      <c r="A22" s="4" t="s">
        <v>27</v>
      </c>
      <c r="B22" s="9"/>
      <c r="C22" s="9"/>
      <c r="D22" s="5">
        <f>SUM(D2:D21)</f>
        <v>2661.9900000000002</v>
      </c>
      <c r="E22" s="5">
        <f>SUM(E2:E21)</f>
        <v>150.39000000000001</v>
      </c>
      <c r="F22" s="6">
        <f>D22-E22</f>
        <v>2511.6000000000004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21"/>
  <dimension ref="A1:F18"/>
  <sheetViews>
    <sheetView workbookViewId="0">
      <selection activeCell="B4" sqref="B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41771</v>
      </c>
      <c r="B2" s="7" t="s">
        <v>6</v>
      </c>
      <c r="C2" s="7" t="s">
        <v>48</v>
      </c>
      <c r="D2" s="3">
        <f>71.43+4.29</f>
        <v>75.720000000000013</v>
      </c>
      <c r="E2" s="3"/>
      <c r="F2" s="8"/>
    </row>
    <row r="3" spans="1:6" ht="15" customHeight="1">
      <c r="A3" s="2">
        <v>41771</v>
      </c>
      <c r="B3" s="7" t="s">
        <v>71</v>
      </c>
      <c r="C3" s="12" t="s">
        <v>77</v>
      </c>
      <c r="D3" s="3">
        <f>447.43+26.79</f>
        <v>474.22</v>
      </c>
      <c r="E3" s="3"/>
      <c r="F3" s="8"/>
    </row>
    <row r="4" spans="1:6" ht="15" customHeight="1">
      <c r="A4" s="2">
        <v>41771</v>
      </c>
      <c r="B4" s="7" t="s">
        <v>71</v>
      </c>
      <c r="C4" s="12" t="s">
        <v>78</v>
      </c>
      <c r="D4" s="3">
        <f>32.64+1.95</f>
        <v>34.590000000000003</v>
      </c>
      <c r="E4" s="3"/>
      <c r="F4" s="8"/>
    </row>
    <row r="5" spans="1:6" ht="15" customHeight="1">
      <c r="A5" s="2">
        <v>41771</v>
      </c>
      <c r="B5" s="7" t="s">
        <v>7</v>
      </c>
      <c r="C5">
        <v>4</v>
      </c>
      <c r="D5" s="7">
        <f>(13.05+0.78)*4</f>
        <v>55.32</v>
      </c>
      <c r="E5" s="3"/>
      <c r="F5" s="8"/>
    </row>
    <row r="6" spans="1:6" ht="15" customHeight="1">
      <c r="A6" s="2">
        <v>41771</v>
      </c>
      <c r="B6" s="7" t="s">
        <v>8</v>
      </c>
      <c r="C6" s="7">
        <v>147</v>
      </c>
      <c r="D6" s="3">
        <f>C6*(3.68+0.22)</f>
        <v>573.30000000000007</v>
      </c>
      <c r="E6" s="3"/>
      <c r="F6" s="8"/>
    </row>
    <row r="7" spans="1:6" ht="15" customHeight="1">
      <c r="A7" s="2">
        <v>41771</v>
      </c>
      <c r="B7" s="7" t="s">
        <v>9</v>
      </c>
      <c r="C7" s="7">
        <v>91</v>
      </c>
      <c r="D7" s="3">
        <f>C7*(3.68+0.22)</f>
        <v>354.90000000000003</v>
      </c>
      <c r="E7" s="3"/>
      <c r="F7" s="8"/>
    </row>
    <row r="8" spans="1:6" ht="15" customHeight="1">
      <c r="A8" s="2">
        <v>41771</v>
      </c>
      <c r="B8" s="7" t="s">
        <v>10</v>
      </c>
      <c r="C8" s="7">
        <v>18</v>
      </c>
      <c r="D8" s="3">
        <f>C8*(3.68+0.22)</f>
        <v>70.2</v>
      </c>
      <c r="E8" s="3"/>
      <c r="F8" s="8"/>
    </row>
    <row r="9" spans="1:6" ht="15" customHeight="1">
      <c r="A9" s="2">
        <v>41771</v>
      </c>
      <c r="B9" s="7" t="s">
        <v>11</v>
      </c>
      <c r="C9" s="7"/>
      <c r="D9" s="3"/>
      <c r="E9" s="3">
        <v>4.29</v>
      </c>
      <c r="F9" s="8"/>
    </row>
    <row r="10" spans="1:6" ht="15" customHeight="1">
      <c r="A10" s="2">
        <v>41771</v>
      </c>
      <c r="B10" s="7" t="s">
        <v>98</v>
      </c>
      <c r="C10" s="7"/>
      <c r="D10" s="3"/>
      <c r="E10" s="3">
        <f>26.79+1.95</f>
        <v>28.74</v>
      </c>
      <c r="F10" s="8"/>
    </row>
    <row r="11" spans="1:6" ht="15" customHeight="1">
      <c r="A11" s="2">
        <v>41771</v>
      </c>
      <c r="B11" s="7" t="s">
        <v>12</v>
      </c>
      <c r="C11">
        <v>4</v>
      </c>
      <c r="D11" s="3"/>
      <c r="E11" s="7">
        <f>0.78*4</f>
        <v>3.12</v>
      </c>
      <c r="F11" s="8"/>
    </row>
    <row r="12" spans="1:6" ht="15" customHeight="1">
      <c r="A12" s="2">
        <v>41771</v>
      </c>
      <c r="B12" s="7" t="s">
        <v>13</v>
      </c>
      <c r="C12" s="7">
        <v>147</v>
      </c>
      <c r="D12" s="3"/>
      <c r="E12" s="3">
        <f>C12*0.22</f>
        <v>32.340000000000003</v>
      </c>
      <c r="F12" s="8"/>
    </row>
    <row r="13" spans="1:6" ht="15" customHeight="1">
      <c r="A13" s="2">
        <v>41771</v>
      </c>
      <c r="B13" s="7" t="s">
        <v>14</v>
      </c>
      <c r="C13" s="7">
        <v>91</v>
      </c>
      <c r="D13" s="3"/>
      <c r="E13" s="3">
        <f t="shared" ref="E13:E14" si="0">C13*0.22</f>
        <v>20.02</v>
      </c>
      <c r="F13" s="8"/>
    </row>
    <row r="14" spans="1:6" ht="15" customHeight="1">
      <c r="A14" s="2">
        <v>41771</v>
      </c>
      <c r="B14" s="7" t="s">
        <v>15</v>
      </c>
      <c r="C14" s="7">
        <v>18</v>
      </c>
      <c r="D14" s="3"/>
      <c r="E14" s="3">
        <f t="shared" si="0"/>
        <v>3.96</v>
      </c>
      <c r="F14" s="8"/>
    </row>
    <row r="15" spans="1:6" ht="15" customHeight="1">
      <c r="A15" s="2">
        <v>41771</v>
      </c>
      <c r="B15" s="7" t="s">
        <v>20</v>
      </c>
      <c r="C15" s="7"/>
      <c r="D15" s="3"/>
      <c r="E15" s="3">
        <v>77.92</v>
      </c>
      <c r="F15" s="8"/>
    </row>
    <row r="16" spans="1:6" ht="15" customHeight="1">
      <c r="A16" s="2">
        <v>41771</v>
      </c>
      <c r="B16" s="7" t="s">
        <v>23</v>
      </c>
      <c r="C16" s="7"/>
      <c r="D16" s="3"/>
      <c r="E16" s="3">
        <v>199.94</v>
      </c>
      <c r="F16" s="8"/>
    </row>
    <row r="17" spans="1:6" ht="15" customHeight="1">
      <c r="A17" s="2">
        <v>41771</v>
      </c>
      <c r="B17" s="7" t="s">
        <v>113</v>
      </c>
      <c r="C17" s="7"/>
      <c r="D17" s="3"/>
      <c r="E17" s="3">
        <v>2439.89</v>
      </c>
      <c r="F17" s="8"/>
    </row>
    <row r="18" spans="1:6" ht="15" customHeight="1" thickBot="1">
      <c r="A18" s="4" t="s">
        <v>27</v>
      </c>
      <c r="B18" s="9"/>
      <c r="C18" s="9"/>
      <c r="D18" s="5">
        <f>SUM(D2:D17)</f>
        <v>1638.2500000000002</v>
      </c>
      <c r="E18" s="5">
        <f>SUM(E2:E17)</f>
        <v>2810.22</v>
      </c>
      <c r="F18" s="6">
        <f>D18-E18</f>
        <v>-1171.9699999999996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22"/>
  <dimension ref="A1:F14"/>
  <sheetViews>
    <sheetView workbookViewId="0">
      <selection activeCell="A14" sqref="A14:XFD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41772</v>
      </c>
      <c r="B2" s="7" t="s">
        <v>6</v>
      </c>
      <c r="C2" s="7" t="s">
        <v>49</v>
      </c>
      <c r="D2" s="3">
        <f>11.98+0.72</f>
        <v>12.700000000000001</v>
      </c>
      <c r="E2" s="3"/>
      <c r="F2" s="8"/>
    </row>
    <row r="3" spans="1:6" ht="15" customHeight="1">
      <c r="A3" s="2">
        <v>41772</v>
      </c>
      <c r="B3" s="7" t="s">
        <v>71</v>
      </c>
      <c r="C3" s="12" t="s">
        <v>79</v>
      </c>
      <c r="D3" s="3">
        <f>262.97+15.69</f>
        <v>278.66000000000003</v>
      </c>
      <c r="E3" s="3"/>
      <c r="F3" s="8"/>
    </row>
    <row r="4" spans="1:6" ht="15" customHeight="1">
      <c r="A4" s="2">
        <v>41772</v>
      </c>
      <c r="B4" s="7" t="s">
        <v>7</v>
      </c>
      <c r="C4">
        <v>2</v>
      </c>
      <c r="D4" s="7">
        <f>(13.05+0.78)*2</f>
        <v>27.66</v>
      </c>
      <c r="E4" s="3"/>
      <c r="F4" s="8"/>
    </row>
    <row r="5" spans="1:6" ht="15" customHeight="1">
      <c r="A5" s="2">
        <v>41772</v>
      </c>
      <c r="B5" s="7" t="s">
        <v>8</v>
      </c>
      <c r="C5" s="7">
        <v>140</v>
      </c>
      <c r="D5" s="3">
        <f>C5*(3.68+0.22)</f>
        <v>546</v>
      </c>
      <c r="E5" s="3"/>
      <c r="F5" s="8"/>
    </row>
    <row r="6" spans="1:6" ht="15" customHeight="1">
      <c r="A6" s="2">
        <v>41772</v>
      </c>
      <c r="B6" s="7" t="s">
        <v>9</v>
      </c>
      <c r="C6" s="7">
        <v>89</v>
      </c>
      <c r="D6" s="3">
        <f>C6*(3.68+0.22)</f>
        <v>347.1</v>
      </c>
      <c r="E6" s="3"/>
      <c r="F6" s="8"/>
    </row>
    <row r="7" spans="1:6" ht="15" customHeight="1">
      <c r="A7" s="2">
        <v>41772</v>
      </c>
      <c r="B7" s="7" t="s">
        <v>10</v>
      </c>
      <c r="C7" s="7">
        <v>6</v>
      </c>
      <c r="D7" s="3">
        <f>C7*(3.68+0.22)</f>
        <v>23.400000000000002</v>
      </c>
      <c r="E7" s="3"/>
      <c r="F7" s="8"/>
    </row>
    <row r="8" spans="1:6" ht="15" customHeight="1">
      <c r="A8" s="2">
        <v>41772</v>
      </c>
      <c r="B8" s="7" t="s">
        <v>11</v>
      </c>
      <c r="C8" s="7"/>
      <c r="D8" s="3"/>
      <c r="E8" s="3">
        <v>0.72</v>
      </c>
      <c r="F8" s="8"/>
    </row>
    <row r="9" spans="1:6" ht="15" customHeight="1">
      <c r="A9" s="2">
        <v>41772</v>
      </c>
      <c r="B9" s="7" t="s">
        <v>98</v>
      </c>
      <c r="C9" s="7"/>
      <c r="D9" s="3"/>
      <c r="E9" s="3">
        <v>15.69</v>
      </c>
      <c r="F9" s="8"/>
    </row>
    <row r="10" spans="1:6" ht="15" customHeight="1">
      <c r="A10" s="2">
        <v>41772</v>
      </c>
      <c r="B10" s="7" t="s">
        <v>12</v>
      </c>
      <c r="C10">
        <v>2</v>
      </c>
      <c r="D10" s="3"/>
      <c r="E10" s="7">
        <f>0.78*2</f>
        <v>1.56</v>
      </c>
      <c r="F10" s="8"/>
    </row>
    <row r="11" spans="1:6" ht="15" customHeight="1">
      <c r="A11" s="2">
        <v>41772</v>
      </c>
      <c r="B11" s="7" t="s">
        <v>13</v>
      </c>
      <c r="C11" s="7">
        <v>140</v>
      </c>
      <c r="D11" s="3"/>
      <c r="E11" s="3">
        <f>C11*0.22</f>
        <v>30.8</v>
      </c>
      <c r="F11" s="8"/>
    </row>
    <row r="12" spans="1:6" ht="15" customHeight="1">
      <c r="A12" s="2">
        <v>41772</v>
      </c>
      <c r="B12" s="7" t="s">
        <v>14</v>
      </c>
      <c r="C12" s="7">
        <v>89</v>
      </c>
      <c r="D12" s="3"/>
      <c r="E12" s="3">
        <f t="shared" ref="E12:E13" si="0">C12*0.22</f>
        <v>19.580000000000002</v>
      </c>
      <c r="F12" s="8"/>
    </row>
    <row r="13" spans="1:6" ht="15" customHeight="1">
      <c r="A13" s="2">
        <v>41772</v>
      </c>
      <c r="B13" s="7" t="s">
        <v>15</v>
      </c>
      <c r="C13" s="7">
        <v>6</v>
      </c>
      <c r="D13" s="3"/>
      <c r="E13" s="3">
        <f t="shared" si="0"/>
        <v>1.32</v>
      </c>
      <c r="F13" s="8"/>
    </row>
    <row r="14" spans="1:6" ht="15" customHeight="1" thickBot="1">
      <c r="A14" s="4" t="s">
        <v>27</v>
      </c>
      <c r="B14" s="9"/>
      <c r="C14" s="9"/>
      <c r="D14" s="5">
        <f>SUM(D2:D13)</f>
        <v>1235.52</v>
      </c>
      <c r="E14" s="5">
        <f>SUM(E2:E13)</f>
        <v>69.669999999999987</v>
      </c>
      <c r="F14" s="6">
        <f>D14-E14</f>
        <v>1165.8499999999999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3"/>
  <dimension ref="A1:F20"/>
  <sheetViews>
    <sheetView workbookViewId="0">
      <selection activeCell="B19" sqref="B1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41773</v>
      </c>
      <c r="B2" s="7" t="s">
        <v>6</v>
      </c>
      <c r="C2" s="7" t="s">
        <v>50</v>
      </c>
      <c r="D2" s="3">
        <f>71.43+4.29</f>
        <v>75.720000000000013</v>
      </c>
      <c r="E2" s="3"/>
      <c r="F2" s="8"/>
    </row>
    <row r="3" spans="1:6" ht="15" customHeight="1">
      <c r="A3" s="2">
        <v>41773</v>
      </c>
      <c r="B3" s="7" t="s">
        <v>6</v>
      </c>
      <c r="C3" s="7" t="s">
        <v>51</v>
      </c>
      <c r="D3" s="3">
        <f>71.43+4.29</f>
        <v>75.720000000000013</v>
      </c>
      <c r="E3" s="3"/>
      <c r="F3" s="8"/>
    </row>
    <row r="4" spans="1:6" ht="15" customHeight="1">
      <c r="A4" s="2">
        <v>41773</v>
      </c>
      <c r="B4" s="7" t="s">
        <v>6</v>
      </c>
      <c r="C4" s="7" t="s">
        <v>52</v>
      </c>
      <c r="D4" s="3">
        <f>15.03+0.9</f>
        <v>15.93</v>
      </c>
      <c r="E4" s="3"/>
      <c r="F4" s="8"/>
    </row>
    <row r="5" spans="1:6" ht="15" customHeight="1">
      <c r="A5" s="2">
        <v>41773</v>
      </c>
      <c r="B5" s="7" t="s">
        <v>71</v>
      </c>
      <c r="C5" s="12" t="s">
        <v>80</v>
      </c>
      <c r="D5" s="3">
        <f>473.83+28.35</f>
        <v>502.18</v>
      </c>
      <c r="E5" s="3"/>
      <c r="F5" s="8"/>
    </row>
    <row r="6" spans="1:6" ht="15" customHeight="1">
      <c r="A6" s="2">
        <v>41773</v>
      </c>
      <c r="B6" s="7" t="s">
        <v>71</v>
      </c>
      <c r="C6" s="12" t="s">
        <v>81</v>
      </c>
      <c r="D6" s="3">
        <f>460.63+27.57</f>
        <v>488.2</v>
      </c>
      <c r="E6" s="3"/>
      <c r="F6" s="8"/>
    </row>
    <row r="7" spans="1:6" ht="15" customHeight="1">
      <c r="A7" s="2">
        <v>41773</v>
      </c>
      <c r="B7" s="7" t="s">
        <v>71</v>
      </c>
      <c r="C7" s="12" t="s">
        <v>82</v>
      </c>
      <c r="D7" s="3">
        <f>465.03+27.83</f>
        <v>492.85999999999996</v>
      </c>
      <c r="E7" s="3"/>
      <c r="F7" s="8"/>
    </row>
    <row r="8" spans="1:6" ht="15" customHeight="1">
      <c r="A8" s="2">
        <v>41773</v>
      </c>
      <c r="B8" s="7" t="s">
        <v>7</v>
      </c>
      <c r="C8">
        <v>3</v>
      </c>
      <c r="D8" s="12">
        <f>(13.05+0.78)*3</f>
        <v>41.49</v>
      </c>
      <c r="E8" s="3"/>
      <c r="F8" s="8"/>
    </row>
    <row r="9" spans="1:6" ht="15" customHeight="1">
      <c r="A9" s="2">
        <v>41773</v>
      </c>
      <c r="B9" s="7" t="s">
        <v>8</v>
      </c>
      <c r="C9" s="7">
        <v>87</v>
      </c>
      <c r="D9" s="3">
        <f>C9*(3.68+0.22)</f>
        <v>339.3</v>
      </c>
      <c r="E9" s="3"/>
      <c r="F9" s="8"/>
    </row>
    <row r="10" spans="1:6" ht="15" customHeight="1">
      <c r="A10" s="2">
        <v>41773</v>
      </c>
      <c r="B10" s="7" t="s">
        <v>9</v>
      </c>
      <c r="C10" s="7">
        <v>69</v>
      </c>
      <c r="D10" s="3">
        <f>C10*(3.68+0.22)</f>
        <v>269.10000000000002</v>
      </c>
      <c r="E10" s="3"/>
      <c r="F10" s="8"/>
    </row>
    <row r="11" spans="1:6" ht="15" customHeight="1">
      <c r="A11" s="2">
        <v>41773</v>
      </c>
      <c r="B11" s="7" t="s">
        <v>10</v>
      </c>
      <c r="C11" s="7">
        <v>10</v>
      </c>
      <c r="D11" s="3">
        <f>C11*(3.68+0.22)</f>
        <v>39</v>
      </c>
      <c r="E11" s="3"/>
      <c r="F11" s="8"/>
    </row>
    <row r="12" spans="1:6" ht="15" customHeight="1">
      <c r="A12" s="2">
        <v>41773</v>
      </c>
      <c r="B12" s="7" t="s">
        <v>11</v>
      </c>
      <c r="C12" s="7"/>
      <c r="D12" s="3"/>
      <c r="E12" s="3">
        <f>4.29*2+0.9</f>
        <v>9.48</v>
      </c>
      <c r="F12" s="8"/>
    </row>
    <row r="13" spans="1:6" ht="15" customHeight="1">
      <c r="A13" s="2">
        <v>41773</v>
      </c>
      <c r="B13" s="7" t="s">
        <v>98</v>
      </c>
      <c r="C13" s="7"/>
      <c r="D13" s="3"/>
      <c r="E13" s="3">
        <f>28.35+27.57+27.83</f>
        <v>83.75</v>
      </c>
      <c r="F13" s="8"/>
    </row>
    <row r="14" spans="1:6" ht="15" customHeight="1">
      <c r="A14" s="2">
        <v>41773</v>
      </c>
      <c r="B14" s="7" t="s">
        <v>12</v>
      </c>
      <c r="C14" s="7">
        <v>3</v>
      </c>
      <c r="D14" s="3"/>
      <c r="E14" s="3">
        <f>C14*0.78</f>
        <v>2.34</v>
      </c>
      <c r="F14" s="8"/>
    </row>
    <row r="15" spans="1:6" ht="15" customHeight="1">
      <c r="A15" s="2">
        <v>41773</v>
      </c>
      <c r="B15" s="7" t="s">
        <v>13</v>
      </c>
      <c r="C15" s="7">
        <v>87</v>
      </c>
      <c r="D15" s="3"/>
      <c r="E15" s="3">
        <f>C15*0.22</f>
        <v>19.14</v>
      </c>
      <c r="F15" s="8"/>
    </row>
    <row r="16" spans="1:6" ht="15" customHeight="1">
      <c r="A16" s="2">
        <v>41773</v>
      </c>
      <c r="B16" s="7" t="s">
        <v>14</v>
      </c>
      <c r="C16" s="7">
        <v>69</v>
      </c>
      <c r="D16" s="3"/>
      <c r="E16" s="3">
        <f t="shared" ref="E16:E17" si="0">C16*0.22</f>
        <v>15.18</v>
      </c>
      <c r="F16" s="8"/>
    </row>
    <row r="17" spans="1:6" ht="15" customHeight="1">
      <c r="A17" s="2">
        <v>41773</v>
      </c>
      <c r="B17" s="7" t="s">
        <v>15</v>
      </c>
      <c r="C17" s="7">
        <v>10</v>
      </c>
      <c r="D17" s="3"/>
      <c r="E17" s="3">
        <f t="shared" si="0"/>
        <v>2.2000000000000002</v>
      </c>
      <c r="F17" s="8"/>
    </row>
    <row r="18" spans="1:6" ht="15" customHeight="1">
      <c r="A18" s="2">
        <v>41773</v>
      </c>
      <c r="B18" s="7" t="s">
        <v>24</v>
      </c>
      <c r="C18" s="7"/>
      <c r="D18" s="3"/>
      <c r="E18" s="3">
        <v>94.23</v>
      </c>
      <c r="F18" s="8"/>
    </row>
    <row r="19" spans="1:6" ht="15" customHeight="1">
      <c r="A19" s="16">
        <v>41773</v>
      </c>
      <c r="B19" s="17" t="s">
        <v>104</v>
      </c>
      <c r="C19" s="17" t="s">
        <v>105</v>
      </c>
      <c r="D19" s="18"/>
      <c r="E19" s="18">
        <v>745</v>
      </c>
      <c r="F19" s="19"/>
    </row>
    <row r="20" spans="1:6" ht="15" customHeight="1" thickBot="1">
      <c r="A20" s="4" t="s">
        <v>27</v>
      </c>
      <c r="B20" s="9"/>
      <c r="C20" s="9"/>
      <c r="D20" s="5">
        <f>SUM(D2:D18)</f>
        <v>2339.5</v>
      </c>
      <c r="E20" s="5">
        <f>SUM(E3:E19)</f>
        <v>971.31999999999994</v>
      </c>
      <c r="F20" s="6">
        <f>D20-E20</f>
        <v>1368.18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2</vt:lpstr>
      <vt:lpstr>5</vt:lpstr>
      <vt:lpstr>6</vt:lpstr>
      <vt:lpstr>7</vt:lpstr>
      <vt:lpstr>8</vt:lpstr>
      <vt:lpstr>9</vt:lpstr>
      <vt:lpstr>12</vt:lpstr>
      <vt:lpstr>13</vt:lpstr>
      <vt:lpstr>14</vt:lpstr>
      <vt:lpstr>15</vt:lpstr>
      <vt:lpstr>16</vt:lpstr>
      <vt:lpstr>19</vt:lpstr>
      <vt:lpstr>20</vt:lpstr>
      <vt:lpstr>21</vt:lpstr>
      <vt:lpstr>22</vt:lpstr>
      <vt:lpstr>23</vt:lpstr>
      <vt:lpstr>26</vt:lpstr>
      <vt:lpstr>27</vt:lpstr>
      <vt:lpstr>28</vt:lpstr>
      <vt:lpstr>29</vt:lpstr>
      <vt:lpstr>30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cp:lastPrinted>2015-02-25T17:20:13Z</cp:lastPrinted>
  <dcterms:created xsi:type="dcterms:W3CDTF">2014-07-29T17:36:41Z</dcterms:created>
  <dcterms:modified xsi:type="dcterms:W3CDTF">2015-02-25T18:54:39Z</dcterms:modified>
</cp:coreProperties>
</file>