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run\Desktop\kaggle\Mumbai Indians\"/>
    </mc:Choice>
  </mc:AlternateContent>
  <xr:revisionPtr revIDLastSave="0" documentId="8_{9C09027D-C1DB-493C-A4AA-4D774F601E01}" xr6:coauthVersionLast="45" xr6:coauthVersionMax="45" xr10:uidLastSave="{00000000-0000-0000-0000-000000000000}"/>
  <bookViews>
    <workbookView xWindow="-120" yWindow="-120" windowWidth="20730" windowHeight="11160" firstSheet="10" activeTab="16" xr2:uid="{00000000-000D-0000-FFFF-FFFF00000000}"/>
  </bookViews>
  <sheets>
    <sheet name="Abbreviation" sheetId="25" state="hidden" r:id="rId1"/>
    <sheet name="Bengaluru" sheetId="1" r:id="rId2"/>
    <sheet name="Delhi" sheetId="2" r:id="rId3"/>
    <sheet name="Jaipur" sheetId="3" r:id="rId4"/>
    <sheet name="Hyderabad" sheetId="4" r:id="rId5"/>
    <sheet name="Mohali" sheetId="7" r:id="rId6"/>
    <sheet name="Mumbai" sheetId="6" r:id="rId7"/>
    <sheet name="Kolkata" sheetId="8" r:id="rId8"/>
    <sheet name="Chennai" sheetId="5" r:id="rId9"/>
    <sheet name="Ahmedabad" sheetId="11" r:id="rId10"/>
    <sheet name="Cuttak" sheetId="12" r:id="rId11"/>
    <sheet name="Nagpur" sheetId="13" r:id="rId12"/>
    <sheet name="Dharamshala" sheetId="14" r:id="rId13"/>
    <sheet name="Kochi" sheetId="15" r:id="rId14"/>
    <sheet name="Indore" sheetId="16" r:id="rId15"/>
    <sheet name="Visakhapatnam" sheetId="17" r:id="rId16"/>
    <sheet name="Pune" sheetId="18" r:id="rId17"/>
    <sheet name="Raipur" sheetId="19" r:id="rId18"/>
    <sheet name="Ranchi" sheetId="20" r:id="rId19"/>
    <sheet name="Kanpur" sheetId="22" r:id="rId20"/>
    <sheet name="Rajkot" sheetId="21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9" l="1"/>
  <c r="G5" i="19"/>
  <c r="G15" i="19"/>
  <c r="I3" i="19"/>
  <c r="I5" i="19"/>
  <c r="I15" i="19"/>
  <c r="G9" i="20"/>
  <c r="I9" i="20"/>
  <c r="I3" i="20"/>
  <c r="G3" i="20"/>
  <c r="X10" i="21"/>
  <c r="X11" i="21"/>
  <c r="X12" i="21"/>
  <c r="X13" i="21"/>
  <c r="X14" i="21"/>
  <c r="X24" i="21"/>
  <c r="W10" i="21"/>
  <c r="W11" i="21"/>
  <c r="W12" i="21"/>
  <c r="W14" i="21"/>
  <c r="W24" i="21"/>
  <c r="X4" i="22"/>
  <c r="X10" i="22"/>
  <c r="X12" i="22"/>
  <c r="X13" i="22"/>
  <c r="W12" i="22"/>
  <c r="W15" i="19"/>
  <c r="W24" i="19"/>
  <c r="W8" i="17"/>
  <c r="W10" i="17"/>
  <c r="W12" i="17"/>
  <c r="W13" i="17"/>
  <c r="W24" i="17"/>
  <c r="X10" i="16"/>
  <c r="X11" i="16"/>
  <c r="X12" i="16"/>
  <c r="X14" i="16"/>
  <c r="X16" i="16"/>
  <c r="X20" i="16"/>
  <c r="X24" i="16"/>
  <c r="W10" i="16"/>
  <c r="W12" i="16"/>
  <c r="W14" i="16"/>
  <c r="W16" i="16"/>
  <c r="W20" i="16"/>
  <c r="W24" i="16"/>
  <c r="W16" i="11"/>
  <c r="X12" i="11"/>
  <c r="X16" i="11"/>
  <c r="X2" i="5"/>
  <c r="X2" i="11"/>
  <c r="X2" i="12"/>
  <c r="X2" i="13"/>
  <c r="X2" i="14"/>
  <c r="X2" i="8"/>
  <c r="W2" i="5"/>
  <c r="W2" i="12"/>
  <c r="X8" i="5"/>
  <c r="X10" i="5"/>
  <c r="X11" i="5"/>
  <c r="X12" i="5"/>
  <c r="X13" i="5"/>
  <c r="X14" i="5"/>
  <c r="X15" i="5"/>
  <c r="X8" i="12"/>
  <c r="X11" i="12"/>
  <c r="X12" i="12"/>
  <c r="X8" i="14"/>
  <c r="X11" i="14"/>
  <c r="X4" i="17"/>
  <c r="X8" i="17"/>
  <c r="X10" i="17"/>
  <c r="X12" i="17"/>
  <c r="X13" i="17"/>
  <c r="X24" i="17"/>
  <c r="X4" i="18"/>
  <c r="X8" i="18"/>
  <c r="X10" i="18"/>
  <c r="X11" i="18"/>
  <c r="X16" i="18"/>
  <c r="X20" i="18"/>
  <c r="X15" i="19"/>
  <c r="X24" i="19"/>
  <c r="X8" i="8"/>
  <c r="X14" i="8"/>
  <c r="X18" i="8"/>
  <c r="X20" i="8"/>
  <c r="X24" i="8"/>
  <c r="W8" i="5"/>
  <c r="W10" i="5"/>
  <c r="W11" i="5"/>
  <c r="W12" i="5"/>
  <c r="W13" i="5"/>
  <c r="W14" i="5"/>
  <c r="W15" i="5"/>
  <c r="W11" i="12"/>
  <c r="W8" i="14"/>
  <c r="W11" i="14"/>
  <c r="W4" i="18"/>
  <c r="W10" i="18"/>
  <c r="W11" i="18"/>
  <c r="W8" i="8"/>
  <c r="W14" i="8"/>
  <c r="W18" i="8"/>
  <c r="W20" i="8"/>
  <c r="W24" i="8"/>
  <c r="I3" i="5"/>
  <c r="I5" i="5"/>
  <c r="I7" i="5"/>
  <c r="I9" i="5"/>
  <c r="I10" i="5"/>
  <c r="I11" i="5"/>
  <c r="I22" i="5"/>
  <c r="I9" i="11"/>
  <c r="I16" i="11"/>
  <c r="I3" i="12"/>
  <c r="I8" i="12"/>
  <c r="I19" i="12"/>
  <c r="I3" i="14"/>
  <c r="I8" i="14"/>
  <c r="I11" i="14"/>
  <c r="I19" i="14"/>
  <c r="I3" i="16"/>
  <c r="I7" i="16"/>
  <c r="I10" i="16"/>
  <c r="I22" i="16"/>
  <c r="I24" i="16"/>
  <c r="I3" i="17"/>
  <c r="I4" i="17"/>
  <c r="I5" i="17"/>
  <c r="I8" i="17"/>
  <c r="I9" i="17"/>
  <c r="I10" i="17"/>
  <c r="I12" i="17"/>
  <c r="I13" i="17"/>
  <c r="I24" i="17"/>
  <c r="I3" i="18"/>
  <c r="I5" i="18"/>
  <c r="I7" i="18"/>
  <c r="I8" i="18"/>
  <c r="I9" i="18"/>
  <c r="I10" i="18"/>
  <c r="I11" i="18"/>
  <c r="I19" i="18"/>
  <c r="I22" i="18"/>
  <c r="I4" i="22"/>
  <c r="I7" i="22"/>
  <c r="I8" i="22"/>
  <c r="I9" i="22"/>
  <c r="I10" i="22"/>
  <c r="I4" i="21"/>
  <c r="I5" i="21"/>
  <c r="I7" i="21"/>
  <c r="I8" i="21"/>
  <c r="I10" i="21"/>
  <c r="I11" i="21"/>
  <c r="I12" i="21"/>
  <c r="I13" i="21"/>
  <c r="I14" i="21"/>
  <c r="I3" i="8"/>
  <c r="I9" i="8"/>
  <c r="I10" i="8"/>
  <c r="I11" i="8"/>
  <c r="I13" i="8"/>
  <c r="I14" i="8"/>
  <c r="I19" i="8"/>
  <c r="I22" i="8"/>
  <c r="I24" i="8"/>
  <c r="G3" i="5"/>
  <c r="G5" i="5"/>
  <c r="G7" i="5"/>
  <c r="G9" i="5"/>
  <c r="G10" i="5"/>
  <c r="G11" i="5"/>
  <c r="G22" i="5"/>
  <c r="G9" i="11"/>
  <c r="G16" i="11"/>
  <c r="G3" i="12"/>
  <c r="G8" i="12"/>
  <c r="G19" i="12"/>
  <c r="G3" i="14"/>
  <c r="G8" i="14"/>
  <c r="G11" i="14"/>
  <c r="G19" i="14"/>
  <c r="G3" i="16"/>
  <c r="G7" i="16"/>
  <c r="G10" i="16"/>
  <c r="G22" i="16"/>
  <c r="G24" i="16"/>
  <c r="G3" i="17"/>
  <c r="G4" i="17"/>
  <c r="G5" i="17"/>
  <c r="G8" i="17"/>
  <c r="G9" i="17"/>
  <c r="G10" i="17"/>
  <c r="G12" i="17"/>
  <c r="G13" i="17"/>
  <c r="G24" i="17"/>
  <c r="G3" i="18"/>
  <c r="G5" i="18"/>
  <c r="G7" i="18"/>
  <c r="G8" i="18"/>
  <c r="G9" i="18"/>
  <c r="G10" i="18"/>
  <c r="G11" i="18"/>
  <c r="G19" i="18"/>
  <c r="G22" i="18"/>
  <c r="G4" i="22"/>
  <c r="G7" i="22"/>
  <c r="G8" i="22"/>
  <c r="G9" i="22"/>
  <c r="G10" i="22"/>
  <c r="G4" i="21"/>
  <c r="G5" i="21"/>
  <c r="G7" i="21"/>
  <c r="G8" i="21"/>
  <c r="G10" i="21"/>
  <c r="G11" i="21"/>
  <c r="G12" i="21"/>
  <c r="G13" i="21"/>
  <c r="G14" i="21"/>
  <c r="G3" i="8"/>
  <c r="G9" i="8"/>
  <c r="G10" i="8"/>
  <c r="G11" i="8"/>
  <c r="G13" i="8"/>
  <c r="G14" i="8"/>
  <c r="G19" i="8"/>
  <c r="G22" i="8"/>
  <c r="G24" i="8"/>
  <c r="W3" i="6"/>
  <c r="W8" i="6"/>
  <c r="W14" i="6"/>
  <c r="W20" i="6"/>
  <c r="W25" i="6"/>
  <c r="X3" i="6"/>
  <c r="X8" i="6"/>
  <c r="X14" i="6"/>
  <c r="X20" i="6"/>
  <c r="X21" i="6"/>
  <c r="X23" i="6"/>
  <c r="X24" i="6"/>
  <c r="X25" i="6"/>
  <c r="X2" i="6"/>
  <c r="I5" i="6"/>
  <c r="I9" i="6"/>
  <c r="I11" i="6"/>
  <c r="I14" i="6"/>
  <c r="I17" i="6"/>
  <c r="I19" i="6"/>
  <c r="I20" i="6"/>
  <c r="I21" i="6"/>
  <c r="I22" i="6"/>
  <c r="I23" i="6"/>
  <c r="G5" i="6"/>
  <c r="G9" i="6"/>
  <c r="G11" i="6"/>
  <c r="G14" i="6"/>
  <c r="G17" i="6"/>
  <c r="G19" i="6"/>
  <c r="G20" i="6"/>
  <c r="G21" i="6"/>
  <c r="G22" i="6"/>
  <c r="G23" i="6"/>
  <c r="X4" i="7"/>
  <c r="X8" i="7"/>
  <c r="X9" i="7"/>
  <c r="X10" i="7"/>
  <c r="X16" i="7"/>
  <c r="X18" i="7"/>
  <c r="X20" i="7"/>
  <c r="X24" i="7"/>
  <c r="W8" i="7"/>
  <c r="W10" i="7"/>
  <c r="I4" i="7"/>
  <c r="I7" i="7"/>
  <c r="I8" i="7"/>
  <c r="I9" i="7"/>
  <c r="I10" i="7"/>
  <c r="I13" i="7"/>
  <c r="I16" i="7"/>
  <c r="I18" i="7"/>
  <c r="G4" i="7"/>
  <c r="G7" i="7"/>
  <c r="G8" i="7"/>
  <c r="G9" i="7"/>
  <c r="G10" i="7"/>
  <c r="G13" i="7"/>
  <c r="G16" i="7"/>
  <c r="G18" i="7"/>
  <c r="X8" i="4"/>
  <c r="X14" i="4"/>
  <c r="X15" i="4"/>
  <c r="X18" i="4"/>
  <c r="X20" i="4"/>
  <c r="X21" i="4"/>
  <c r="X24" i="4"/>
  <c r="X25" i="4"/>
  <c r="W8" i="4"/>
  <c r="W14" i="4"/>
  <c r="W15" i="4"/>
  <c r="W18" i="4"/>
  <c r="W20" i="4"/>
  <c r="W21" i="4"/>
  <c r="W24" i="4"/>
  <c r="W25" i="4"/>
  <c r="I3" i="4"/>
  <c r="I7" i="4"/>
  <c r="I12" i="4"/>
  <c r="I13" i="4"/>
  <c r="I14" i="4"/>
  <c r="I19" i="4"/>
  <c r="I20" i="4"/>
  <c r="I22" i="4"/>
  <c r="I24" i="4"/>
  <c r="G3" i="4"/>
  <c r="G7" i="4"/>
  <c r="G12" i="4"/>
  <c r="G13" i="4"/>
  <c r="G14" i="4"/>
  <c r="G19" i="4"/>
  <c r="G20" i="4"/>
  <c r="G22" i="4"/>
  <c r="G24" i="4"/>
  <c r="Y14" i="3"/>
  <c r="W4" i="3"/>
  <c r="W8" i="3"/>
  <c r="X4" i="3"/>
  <c r="X8" i="3"/>
  <c r="X10" i="3"/>
  <c r="X12" i="3"/>
  <c r="X13" i="3"/>
  <c r="X14" i="3"/>
  <c r="X20" i="3"/>
  <c r="W10" i="3"/>
  <c r="W12" i="3"/>
  <c r="W13" i="3"/>
  <c r="W14" i="3"/>
  <c r="I3" i="3"/>
  <c r="I4" i="3"/>
  <c r="I5" i="3"/>
  <c r="I7" i="3"/>
  <c r="I10" i="3"/>
  <c r="I11" i="3"/>
  <c r="I13" i="3"/>
  <c r="I16" i="3"/>
  <c r="I20" i="3"/>
  <c r="I22" i="3"/>
  <c r="G3" i="3"/>
  <c r="G4" i="3"/>
  <c r="G5" i="3"/>
  <c r="G7" i="3"/>
  <c r="G8" i="3"/>
  <c r="G10" i="3"/>
  <c r="G11" i="3"/>
  <c r="G13" i="3"/>
  <c r="G16" i="3"/>
  <c r="G20" i="3"/>
  <c r="G22" i="3"/>
  <c r="X8" i="2"/>
  <c r="X9" i="2"/>
  <c r="X13" i="2"/>
  <c r="X14" i="2"/>
  <c r="X15" i="2"/>
  <c r="X18" i="2"/>
  <c r="X20" i="2"/>
  <c r="W8" i="2"/>
  <c r="W13" i="2"/>
  <c r="W14" i="2"/>
  <c r="W15" i="2"/>
  <c r="W18" i="2"/>
  <c r="W20" i="2"/>
  <c r="I9" i="2"/>
  <c r="I11" i="2"/>
  <c r="I12" i="2"/>
  <c r="I13" i="2"/>
  <c r="I15" i="2"/>
  <c r="I19" i="2"/>
  <c r="I20" i="2"/>
  <c r="I22" i="2"/>
  <c r="I24" i="2"/>
  <c r="G7" i="2"/>
  <c r="G9" i="2"/>
  <c r="G11" i="2"/>
  <c r="G12" i="2"/>
  <c r="G13" i="2"/>
  <c r="G15" i="2"/>
  <c r="G19" i="2"/>
  <c r="G20" i="2"/>
  <c r="G22" i="2"/>
  <c r="G24" i="2"/>
  <c r="X8" i="1"/>
  <c r="X15" i="1"/>
  <c r="X16" i="1"/>
  <c r="X20" i="1"/>
  <c r="X24" i="1"/>
  <c r="W8" i="1"/>
  <c r="W16" i="1"/>
  <c r="W20" i="1"/>
  <c r="W24" i="1"/>
  <c r="I7" i="1"/>
  <c r="I9" i="1"/>
  <c r="I11" i="1"/>
  <c r="I12" i="1"/>
  <c r="I13" i="1"/>
  <c r="I19" i="1"/>
  <c r="I20" i="1"/>
  <c r="G7" i="1"/>
  <c r="G9" i="1"/>
  <c r="G11" i="1"/>
  <c r="G12" i="1"/>
  <c r="G13" i="1"/>
  <c r="G19" i="1"/>
  <c r="G20" i="1"/>
  <c r="T13" i="18" l="1"/>
  <c r="T12" i="18"/>
  <c r="T13" i="16"/>
  <c r="T4" i="16"/>
  <c r="T4" i="5"/>
  <c r="T16" i="8"/>
  <c r="T13" i="8"/>
  <c r="T12" i="8"/>
  <c r="T11" i="8"/>
  <c r="T10" i="8"/>
  <c r="T4" i="8"/>
  <c r="T3" i="8"/>
  <c r="X3" i="8" s="1"/>
  <c r="T16" i="6"/>
  <c r="U13" i="6"/>
  <c r="T13" i="6"/>
  <c r="U12" i="6"/>
  <c r="T12" i="6"/>
  <c r="R12" i="6"/>
  <c r="T11" i="6"/>
  <c r="R11" i="6"/>
  <c r="T10" i="6"/>
  <c r="R10" i="6"/>
  <c r="T4" i="6"/>
  <c r="R4" i="6"/>
  <c r="S4" i="6" s="1"/>
  <c r="Y4" i="6" s="1"/>
  <c r="T13" i="7"/>
  <c r="T12" i="7"/>
  <c r="T11" i="7"/>
  <c r="T16" i="4"/>
  <c r="X16" i="4" s="1"/>
  <c r="T13" i="4"/>
  <c r="T12" i="4"/>
  <c r="R12" i="4"/>
  <c r="S12" i="4" s="1"/>
  <c r="Y12" i="4" s="1"/>
  <c r="T11" i="4"/>
  <c r="T10" i="4"/>
  <c r="T4" i="4"/>
  <c r="X4" i="4" s="1"/>
  <c r="T11" i="3"/>
  <c r="T24" i="2"/>
  <c r="T16" i="2"/>
  <c r="T12" i="2"/>
  <c r="T10" i="2"/>
  <c r="T11" i="2"/>
  <c r="T4" i="2"/>
  <c r="T13" i="1"/>
  <c r="T12" i="1"/>
  <c r="R12" i="1"/>
  <c r="T11" i="1"/>
  <c r="T10" i="1"/>
  <c r="T4" i="1"/>
  <c r="X3" i="2"/>
  <c r="X3" i="3"/>
  <c r="X3" i="4"/>
  <c r="X3" i="7"/>
  <c r="X3" i="5"/>
  <c r="X3" i="12"/>
  <c r="X3" i="14"/>
  <c r="X3" i="17"/>
  <c r="X3" i="18"/>
  <c r="X3" i="19"/>
  <c r="X3" i="20"/>
  <c r="W3" i="2"/>
  <c r="W3" i="4"/>
  <c r="W3" i="7"/>
  <c r="W3" i="5"/>
  <c r="W3" i="12"/>
  <c r="W3" i="14"/>
  <c r="W3" i="18"/>
  <c r="S3" i="2"/>
  <c r="Y3" i="2" s="1"/>
  <c r="S4" i="2"/>
  <c r="Y4" i="2" s="1"/>
  <c r="S5" i="2"/>
  <c r="S6" i="2"/>
  <c r="S7" i="2"/>
  <c r="S8" i="2"/>
  <c r="Y8" i="2" s="1"/>
  <c r="S9" i="2"/>
  <c r="S10" i="2"/>
  <c r="Y10" i="2" s="1"/>
  <c r="S11" i="2"/>
  <c r="Y11" i="2" s="1"/>
  <c r="S12" i="2"/>
  <c r="Y12" i="2" s="1"/>
  <c r="S13" i="2"/>
  <c r="Y13" i="2" s="1"/>
  <c r="S14" i="2"/>
  <c r="Y14" i="2" s="1"/>
  <c r="S15" i="2"/>
  <c r="Y15" i="2" s="1"/>
  <c r="S16" i="2"/>
  <c r="Y16" i="2" s="1"/>
  <c r="S17" i="2"/>
  <c r="S18" i="2"/>
  <c r="Y18" i="2" s="1"/>
  <c r="S19" i="2"/>
  <c r="S20" i="2"/>
  <c r="Y20" i="2" s="1"/>
  <c r="S21" i="2"/>
  <c r="S22" i="2"/>
  <c r="S23" i="2"/>
  <c r="S24" i="2"/>
  <c r="Y24" i="2" s="1"/>
  <c r="S25" i="2"/>
  <c r="S26" i="2"/>
  <c r="S27" i="2"/>
  <c r="S3" i="3"/>
  <c r="S4" i="3"/>
  <c r="Y4" i="3" s="1"/>
  <c r="S5" i="3"/>
  <c r="S6" i="3"/>
  <c r="S7" i="3"/>
  <c r="S8" i="3"/>
  <c r="Y8" i="3" s="1"/>
  <c r="S9" i="3"/>
  <c r="S10" i="3"/>
  <c r="Y10" i="3" s="1"/>
  <c r="S11" i="3"/>
  <c r="Y11" i="3" s="1"/>
  <c r="S12" i="3"/>
  <c r="Y12" i="3" s="1"/>
  <c r="S13" i="3"/>
  <c r="Y13" i="3" s="1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3" i="4"/>
  <c r="Y3" i="4" s="1"/>
  <c r="S4" i="4"/>
  <c r="S5" i="4"/>
  <c r="S6" i="4"/>
  <c r="S7" i="4"/>
  <c r="S8" i="4"/>
  <c r="Y8" i="4" s="1"/>
  <c r="S9" i="4"/>
  <c r="S10" i="4"/>
  <c r="Y10" i="4" s="1"/>
  <c r="S11" i="4"/>
  <c r="Y11" i="4" s="1"/>
  <c r="S13" i="4"/>
  <c r="Y13" i="4" s="1"/>
  <c r="S14" i="4"/>
  <c r="Y14" i="4" s="1"/>
  <c r="S15" i="4"/>
  <c r="Y15" i="4" s="1"/>
  <c r="S16" i="4"/>
  <c r="S17" i="4"/>
  <c r="S18" i="4"/>
  <c r="Y18" i="4" s="1"/>
  <c r="S19" i="4"/>
  <c r="S20" i="4"/>
  <c r="Y20" i="4" s="1"/>
  <c r="S21" i="4"/>
  <c r="Y21" i="4" s="1"/>
  <c r="S22" i="4"/>
  <c r="S23" i="4"/>
  <c r="S24" i="4"/>
  <c r="Y24" i="4" s="1"/>
  <c r="S25" i="4"/>
  <c r="Y25" i="4" s="1"/>
  <c r="S26" i="4"/>
  <c r="S27" i="4"/>
  <c r="S3" i="7"/>
  <c r="Y3" i="7" s="1"/>
  <c r="S4" i="7"/>
  <c r="S5" i="7"/>
  <c r="S6" i="7"/>
  <c r="S7" i="7"/>
  <c r="S8" i="7"/>
  <c r="Y8" i="7" s="1"/>
  <c r="S9" i="7"/>
  <c r="S10" i="7"/>
  <c r="Y10" i="7" s="1"/>
  <c r="S11" i="7"/>
  <c r="Y11" i="7" s="1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3" i="6"/>
  <c r="Y3" i="6" s="1"/>
  <c r="S5" i="6"/>
  <c r="S6" i="6"/>
  <c r="S7" i="6"/>
  <c r="S8" i="6"/>
  <c r="Y8" i="6" s="1"/>
  <c r="S9" i="6"/>
  <c r="S10" i="6"/>
  <c r="Y10" i="6" s="1"/>
  <c r="S11" i="6"/>
  <c r="Y11" i="6" s="1"/>
  <c r="S12" i="6"/>
  <c r="S13" i="6"/>
  <c r="Y13" i="6" s="1"/>
  <c r="S14" i="6"/>
  <c r="Y14" i="6" s="1"/>
  <c r="S15" i="6"/>
  <c r="S16" i="6"/>
  <c r="Y16" i="6" s="1"/>
  <c r="S17" i="6"/>
  <c r="S18" i="6"/>
  <c r="S19" i="6"/>
  <c r="S20" i="6"/>
  <c r="Y20" i="6" s="1"/>
  <c r="S21" i="6"/>
  <c r="S22" i="6"/>
  <c r="S23" i="6"/>
  <c r="S24" i="6"/>
  <c r="S25" i="6"/>
  <c r="Y25" i="6" s="1"/>
  <c r="S26" i="6"/>
  <c r="S27" i="6"/>
  <c r="S3" i="8"/>
  <c r="Y3" i="8" s="1"/>
  <c r="S4" i="8"/>
  <c r="Y4" i="8" s="1"/>
  <c r="S5" i="8"/>
  <c r="S6" i="8"/>
  <c r="S7" i="8"/>
  <c r="S8" i="8"/>
  <c r="Y8" i="8" s="1"/>
  <c r="S9" i="8"/>
  <c r="S10" i="8"/>
  <c r="Y10" i="8" s="1"/>
  <c r="S11" i="8"/>
  <c r="Y11" i="8" s="1"/>
  <c r="S12" i="8"/>
  <c r="Y12" i="8" s="1"/>
  <c r="S13" i="8"/>
  <c r="Y13" i="8" s="1"/>
  <c r="S14" i="8"/>
  <c r="Y14" i="8" s="1"/>
  <c r="S15" i="8"/>
  <c r="S16" i="8"/>
  <c r="Y16" i="8" s="1"/>
  <c r="S17" i="8"/>
  <c r="S18" i="8"/>
  <c r="Y18" i="8" s="1"/>
  <c r="S19" i="8"/>
  <c r="S20" i="8"/>
  <c r="Y20" i="8" s="1"/>
  <c r="S21" i="8"/>
  <c r="S22" i="8"/>
  <c r="S23" i="8"/>
  <c r="S24" i="8"/>
  <c r="Y24" i="8" s="1"/>
  <c r="S25" i="8"/>
  <c r="S26" i="8"/>
  <c r="S27" i="8"/>
  <c r="S3" i="5"/>
  <c r="Y3" i="5" s="1"/>
  <c r="S4" i="5"/>
  <c r="Y4" i="5" s="1"/>
  <c r="S5" i="5"/>
  <c r="S6" i="5"/>
  <c r="S7" i="5"/>
  <c r="S8" i="5"/>
  <c r="Y8" i="5" s="1"/>
  <c r="S9" i="5"/>
  <c r="S10" i="5"/>
  <c r="Y10" i="5" s="1"/>
  <c r="S11" i="5"/>
  <c r="Y11" i="5" s="1"/>
  <c r="S12" i="5"/>
  <c r="Y12" i="5" s="1"/>
  <c r="S13" i="5"/>
  <c r="Y13" i="5" s="1"/>
  <c r="S14" i="5"/>
  <c r="Y14" i="5" s="1"/>
  <c r="S15" i="5"/>
  <c r="Y15" i="5" s="1"/>
  <c r="S16" i="5"/>
  <c r="S17" i="5"/>
  <c r="S18" i="5"/>
  <c r="S19" i="5"/>
  <c r="S20" i="5"/>
  <c r="S21" i="5"/>
  <c r="S22" i="5"/>
  <c r="S23" i="5"/>
  <c r="S24" i="5"/>
  <c r="S25" i="5"/>
  <c r="S26" i="5"/>
  <c r="S27" i="5"/>
  <c r="S3" i="11"/>
  <c r="S4" i="11"/>
  <c r="S5" i="11"/>
  <c r="S6" i="11"/>
  <c r="S7" i="11"/>
  <c r="S8" i="11"/>
  <c r="S9" i="11"/>
  <c r="S10" i="11"/>
  <c r="S11" i="11"/>
  <c r="Y11" i="11" s="1"/>
  <c r="S12" i="11"/>
  <c r="S13" i="11"/>
  <c r="S14" i="11"/>
  <c r="S15" i="11"/>
  <c r="S16" i="11"/>
  <c r="Y16" i="11" s="1"/>
  <c r="S17" i="11"/>
  <c r="S18" i="11"/>
  <c r="S19" i="11"/>
  <c r="S20" i="11"/>
  <c r="S21" i="11"/>
  <c r="S22" i="11"/>
  <c r="S23" i="11"/>
  <c r="S24" i="11"/>
  <c r="S25" i="11"/>
  <c r="S26" i="11"/>
  <c r="S27" i="11"/>
  <c r="S3" i="12"/>
  <c r="Y3" i="12" s="1"/>
  <c r="S4" i="12"/>
  <c r="S5" i="12"/>
  <c r="S6" i="12"/>
  <c r="S7" i="12"/>
  <c r="S8" i="12"/>
  <c r="S9" i="12"/>
  <c r="S10" i="12"/>
  <c r="S11" i="12"/>
  <c r="Y11" i="12" s="1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3" i="14"/>
  <c r="Y3" i="14" s="1"/>
  <c r="S4" i="14"/>
  <c r="S5" i="14"/>
  <c r="S6" i="14"/>
  <c r="S7" i="14"/>
  <c r="S8" i="14"/>
  <c r="Y8" i="14" s="1"/>
  <c r="S9" i="14"/>
  <c r="S10" i="14"/>
  <c r="S11" i="14"/>
  <c r="Y11" i="14" s="1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3" i="16"/>
  <c r="S4" i="16"/>
  <c r="Y4" i="16" s="1"/>
  <c r="S5" i="16"/>
  <c r="S6" i="16"/>
  <c r="S7" i="16"/>
  <c r="S8" i="16"/>
  <c r="S9" i="16"/>
  <c r="S10" i="16"/>
  <c r="Y10" i="16" s="1"/>
  <c r="S11" i="16"/>
  <c r="S12" i="16"/>
  <c r="Y12" i="16" s="1"/>
  <c r="S13" i="16"/>
  <c r="Y13" i="16" s="1"/>
  <c r="S14" i="16"/>
  <c r="Y14" i="16" s="1"/>
  <c r="S15" i="16"/>
  <c r="S16" i="16"/>
  <c r="Y16" i="16" s="1"/>
  <c r="S17" i="16"/>
  <c r="S18" i="16"/>
  <c r="S19" i="16"/>
  <c r="S20" i="16"/>
  <c r="Y20" i="16" s="1"/>
  <c r="S21" i="16"/>
  <c r="S22" i="16"/>
  <c r="S23" i="16"/>
  <c r="S24" i="16"/>
  <c r="Y24" i="16" s="1"/>
  <c r="S25" i="16"/>
  <c r="S26" i="16"/>
  <c r="S27" i="16"/>
  <c r="S3" i="17"/>
  <c r="S4" i="17"/>
  <c r="S5" i="17"/>
  <c r="S6" i="17"/>
  <c r="S7" i="17"/>
  <c r="S8" i="17"/>
  <c r="Y8" i="17" s="1"/>
  <c r="S9" i="17"/>
  <c r="S10" i="17"/>
  <c r="Y10" i="17" s="1"/>
  <c r="S11" i="17"/>
  <c r="Y11" i="17" s="1"/>
  <c r="S12" i="17"/>
  <c r="Y12" i="17" s="1"/>
  <c r="S13" i="17"/>
  <c r="Y13" i="17" s="1"/>
  <c r="S14" i="17"/>
  <c r="S15" i="17"/>
  <c r="S16" i="17"/>
  <c r="S17" i="17"/>
  <c r="S18" i="17"/>
  <c r="S19" i="17"/>
  <c r="S20" i="17"/>
  <c r="S21" i="17"/>
  <c r="S22" i="17"/>
  <c r="S23" i="17"/>
  <c r="S24" i="17"/>
  <c r="Y24" i="17" s="1"/>
  <c r="S25" i="17"/>
  <c r="S26" i="17"/>
  <c r="S27" i="17"/>
  <c r="S3" i="18"/>
  <c r="Y3" i="18" s="1"/>
  <c r="S4" i="18"/>
  <c r="Y4" i="18" s="1"/>
  <c r="S5" i="18"/>
  <c r="S6" i="18"/>
  <c r="S7" i="18"/>
  <c r="S8" i="18"/>
  <c r="S9" i="18"/>
  <c r="S10" i="18"/>
  <c r="Y10" i="18" s="1"/>
  <c r="S11" i="18"/>
  <c r="Y11" i="18" s="1"/>
  <c r="S12" i="18"/>
  <c r="Y12" i="18" s="1"/>
  <c r="S13" i="18"/>
  <c r="Y13" i="18" s="1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Y15" i="19" s="1"/>
  <c r="S16" i="19"/>
  <c r="S17" i="19"/>
  <c r="S18" i="19"/>
  <c r="S19" i="19"/>
  <c r="S20" i="19"/>
  <c r="S21" i="19"/>
  <c r="S22" i="19"/>
  <c r="S23" i="19"/>
  <c r="S24" i="19"/>
  <c r="Y24" i="19" s="1"/>
  <c r="S25" i="19"/>
  <c r="S26" i="19"/>
  <c r="S27" i="19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3" i="22"/>
  <c r="S4" i="22"/>
  <c r="S5" i="22"/>
  <c r="S6" i="22"/>
  <c r="S7" i="22"/>
  <c r="S8" i="22"/>
  <c r="S9" i="22"/>
  <c r="S10" i="22"/>
  <c r="S11" i="22"/>
  <c r="S12" i="22"/>
  <c r="Y12" i="22" s="1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3" i="21"/>
  <c r="S4" i="21"/>
  <c r="S5" i="21"/>
  <c r="S6" i="21"/>
  <c r="S7" i="21"/>
  <c r="S8" i="21"/>
  <c r="S9" i="21"/>
  <c r="S10" i="21"/>
  <c r="Y10" i="21" s="1"/>
  <c r="S11" i="21"/>
  <c r="Y11" i="21" s="1"/>
  <c r="S12" i="21"/>
  <c r="Y12" i="21" s="1"/>
  <c r="S13" i="21"/>
  <c r="S14" i="21"/>
  <c r="Y14" i="21" s="1"/>
  <c r="S15" i="21"/>
  <c r="S16" i="21"/>
  <c r="S17" i="21"/>
  <c r="S18" i="21"/>
  <c r="S19" i="21"/>
  <c r="S20" i="21"/>
  <c r="S21" i="21"/>
  <c r="S22" i="21"/>
  <c r="S23" i="21"/>
  <c r="S24" i="21"/>
  <c r="Y24" i="21" s="1"/>
  <c r="S25" i="21"/>
  <c r="S26" i="21"/>
  <c r="S27" i="21"/>
  <c r="S3" i="1"/>
  <c r="Y3" i="1" s="1"/>
  <c r="S4" i="1"/>
  <c r="Y4" i="1" s="1"/>
  <c r="S5" i="1"/>
  <c r="S6" i="1"/>
  <c r="S7" i="1"/>
  <c r="S8" i="1"/>
  <c r="Y8" i="1" s="1"/>
  <c r="S9" i="1"/>
  <c r="S10" i="1"/>
  <c r="Y10" i="1" s="1"/>
  <c r="S11" i="1"/>
  <c r="Y11" i="1" s="1"/>
  <c r="S12" i="1"/>
  <c r="Y12" i="1" s="1"/>
  <c r="S13" i="1"/>
  <c r="Y13" i="1" s="1"/>
  <c r="S14" i="1"/>
  <c r="S15" i="1"/>
  <c r="S16" i="1"/>
  <c r="Y16" i="1" s="1"/>
  <c r="S17" i="1"/>
  <c r="S18" i="1"/>
  <c r="S19" i="1"/>
  <c r="S20" i="1"/>
  <c r="Y20" i="1" s="1"/>
  <c r="S21" i="1"/>
  <c r="S22" i="1"/>
  <c r="S23" i="1"/>
  <c r="S24" i="1"/>
  <c r="Y24" i="1" s="1"/>
  <c r="S25" i="1"/>
  <c r="S26" i="1"/>
  <c r="S27" i="1"/>
  <c r="S2" i="2"/>
  <c r="S2" i="3"/>
  <c r="S2" i="4"/>
  <c r="S2" i="7"/>
  <c r="S2" i="6"/>
  <c r="S2" i="8"/>
  <c r="S2" i="5"/>
  <c r="Y2" i="5" s="1"/>
  <c r="S2" i="11"/>
  <c r="S2" i="12"/>
  <c r="Y2" i="12" s="1"/>
  <c r="S2" i="13"/>
  <c r="S2" i="14"/>
  <c r="S2" i="15"/>
  <c r="S2" i="16"/>
  <c r="S2" i="17"/>
  <c r="S2" i="18"/>
  <c r="S2" i="19"/>
  <c r="S2" i="20"/>
  <c r="S2" i="22"/>
  <c r="S2" i="21"/>
  <c r="S2" i="1"/>
  <c r="X4" i="1" l="1"/>
  <c r="W4" i="1"/>
  <c r="X10" i="2"/>
  <c r="W10" i="2"/>
  <c r="X4" i="6"/>
  <c r="W4" i="6"/>
  <c r="W13" i="6"/>
  <c r="X13" i="6"/>
  <c r="X13" i="8"/>
  <c r="W13" i="8"/>
  <c r="W11" i="4"/>
  <c r="X11" i="4"/>
  <c r="Y12" i="6"/>
  <c r="X10" i="1"/>
  <c r="W10" i="1"/>
  <c r="X12" i="2"/>
  <c r="W12" i="2"/>
  <c r="W12" i="4"/>
  <c r="X12" i="4"/>
  <c r="X16" i="8"/>
  <c r="W16" i="8"/>
  <c r="X11" i="1"/>
  <c r="W11" i="1"/>
  <c r="W16" i="2"/>
  <c r="X16" i="2"/>
  <c r="W13" i="4"/>
  <c r="X13" i="4"/>
  <c r="X10" i="6"/>
  <c r="W10" i="6"/>
  <c r="W16" i="6"/>
  <c r="X16" i="6"/>
  <c r="X4" i="5"/>
  <c r="W4" i="5"/>
  <c r="X24" i="2"/>
  <c r="W24" i="2"/>
  <c r="X4" i="16"/>
  <c r="W4" i="16"/>
  <c r="X12" i="1"/>
  <c r="W12" i="1"/>
  <c r="W11" i="3"/>
  <c r="X11" i="3"/>
  <c r="W11" i="6"/>
  <c r="X11" i="6"/>
  <c r="X4" i="8"/>
  <c r="W4" i="8"/>
  <c r="X13" i="16"/>
  <c r="W13" i="16"/>
  <c r="X12" i="8"/>
  <c r="W12" i="8"/>
  <c r="X13" i="1"/>
  <c r="W13" i="1"/>
  <c r="X10" i="8"/>
  <c r="W10" i="8"/>
  <c r="X12" i="18"/>
  <c r="W12" i="18"/>
  <c r="W11" i="2"/>
  <c r="X11" i="2"/>
  <c r="W4" i="2"/>
  <c r="X4" i="2"/>
  <c r="X10" i="4"/>
  <c r="W10" i="4"/>
  <c r="W12" i="6"/>
  <c r="X12" i="6"/>
  <c r="W11" i="8"/>
  <c r="X11" i="8"/>
  <c r="W13" i="18"/>
  <c r="X13" i="18"/>
  <c r="X11" i="7"/>
  <c r="W11" i="7"/>
  <c r="X12" i="7"/>
  <c r="X13" i="7"/>
  <c r="W3" i="8"/>
  <c r="N4" i="6"/>
  <c r="H4" i="18" l="1"/>
  <c r="E4" i="18"/>
  <c r="L2" i="18"/>
  <c r="H2" i="18"/>
  <c r="E2" i="18"/>
  <c r="H4" i="16"/>
  <c r="E4" i="16"/>
  <c r="I2" i="16"/>
  <c r="G2" i="16"/>
  <c r="H8" i="5"/>
  <c r="E8" i="5"/>
  <c r="H4" i="5"/>
  <c r="E4" i="5"/>
  <c r="H2" i="5"/>
  <c r="E2" i="5"/>
  <c r="E16" i="8"/>
  <c r="H8" i="8"/>
  <c r="E8" i="8"/>
  <c r="H7" i="8"/>
  <c r="E7" i="8"/>
  <c r="H5" i="8"/>
  <c r="E5" i="8"/>
  <c r="H4" i="8"/>
  <c r="E4" i="8"/>
  <c r="H2" i="8"/>
  <c r="E2" i="8"/>
  <c r="H16" i="6"/>
  <c r="E16" i="6"/>
  <c r="H13" i="6"/>
  <c r="E13" i="6"/>
  <c r="D13" i="6"/>
  <c r="H12" i="6"/>
  <c r="E12" i="6"/>
  <c r="M10" i="6"/>
  <c r="L10" i="6"/>
  <c r="H10" i="6"/>
  <c r="E10" i="6"/>
  <c r="B10" i="6"/>
  <c r="M8" i="6"/>
  <c r="H8" i="6"/>
  <c r="E8" i="6"/>
  <c r="H7" i="6"/>
  <c r="E7" i="6"/>
  <c r="M4" i="6"/>
  <c r="L4" i="6"/>
  <c r="H4" i="6"/>
  <c r="E4" i="6"/>
  <c r="B4" i="6"/>
  <c r="L3" i="6"/>
  <c r="H3" i="6"/>
  <c r="E3" i="6"/>
  <c r="L2" i="6"/>
  <c r="H2" i="6"/>
  <c r="E2" i="6"/>
  <c r="B2" i="6"/>
  <c r="E5" i="7"/>
  <c r="H3" i="7"/>
  <c r="E3" i="7"/>
  <c r="H2" i="7"/>
  <c r="E2" i="7"/>
  <c r="E16" i="4"/>
  <c r="H10" i="4"/>
  <c r="E10" i="4"/>
  <c r="H8" i="4"/>
  <c r="E8" i="4"/>
  <c r="E5" i="4"/>
  <c r="H4" i="4"/>
  <c r="E4" i="4"/>
  <c r="H2" i="4"/>
  <c r="E2" i="4"/>
  <c r="H8" i="3"/>
  <c r="I8" i="3" s="1"/>
  <c r="H2" i="3"/>
  <c r="H16" i="2"/>
  <c r="E16" i="2"/>
  <c r="H10" i="2"/>
  <c r="E10" i="2"/>
  <c r="H8" i="2"/>
  <c r="E8" i="2"/>
  <c r="H7" i="2"/>
  <c r="I7" i="2" s="1"/>
  <c r="H5" i="2"/>
  <c r="E5" i="2"/>
  <c r="H4" i="2"/>
  <c r="E4" i="2"/>
  <c r="H3" i="2"/>
  <c r="E3" i="2"/>
  <c r="H2" i="2"/>
  <c r="E2" i="2"/>
  <c r="E16" i="1"/>
  <c r="H10" i="1"/>
  <c r="E10" i="1"/>
  <c r="H8" i="1"/>
  <c r="E8" i="1"/>
  <c r="L5" i="1"/>
  <c r="H5" i="1"/>
  <c r="E5" i="1"/>
  <c r="E4" i="1"/>
  <c r="H3" i="1"/>
  <c r="E3" i="1"/>
  <c r="H2" i="1"/>
  <c r="E2" i="1"/>
  <c r="G4" i="1" l="1"/>
  <c r="I4" i="1"/>
  <c r="I4" i="8"/>
  <c r="G4" i="8"/>
  <c r="G16" i="8"/>
  <c r="I16" i="8"/>
  <c r="I8" i="2"/>
  <c r="G8" i="2"/>
  <c r="I5" i="8"/>
  <c r="G5" i="8"/>
  <c r="G16" i="1"/>
  <c r="I16" i="1"/>
  <c r="G5" i="1"/>
  <c r="I5" i="1"/>
  <c r="G4" i="6"/>
  <c r="I4" i="6"/>
  <c r="I4" i="5"/>
  <c r="G4" i="5"/>
  <c r="G4" i="4"/>
  <c r="I4" i="4"/>
  <c r="G10" i="4"/>
  <c r="I10" i="4"/>
  <c r="G16" i="4"/>
  <c r="I16" i="4"/>
  <c r="I7" i="8"/>
  <c r="G7" i="8"/>
  <c r="I4" i="2"/>
  <c r="G4" i="2"/>
  <c r="G3" i="6"/>
  <c r="I3" i="6"/>
  <c r="I7" i="6"/>
  <c r="G7" i="6"/>
  <c r="G8" i="5"/>
  <c r="I8" i="5"/>
  <c r="G4" i="16"/>
  <c r="I4" i="16"/>
  <c r="G13" i="6"/>
  <c r="I13" i="6"/>
  <c r="I3" i="2"/>
  <c r="G3" i="2"/>
  <c r="G10" i="6"/>
  <c r="I10" i="6"/>
  <c r="G8" i="1"/>
  <c r="I8" i="1"/>
  <c r="I10" i="2"/>
  <c r="G10" i="2"/>
  <c r="I16" i="6"/>
  <c r="G16" i="6"/>
  <c r="I10" i="1"/>
  <c r="G10" i="1"/>
  <c r="G5" i="4"/>
  <c r="I5" i="4"/>
  <c r="I8" i="8"/>
  <c r="G8" i="8"/>
  <c r="I4" i="18"/>
  <c r="G4" i="18"/>
  <c r="G3" i="1"/>
  <c r="I3" i="1"/>
  <c r="I16" i="2"/>
  <c r="G16" i="2"/>
  <c r="I5" i="2"/>
  <c r="G5" i="2"/>
  <c r="G8" i="4"/>
  <c r="I8" i="4"/>
  <c r="I8" i="6"/>
  <c r="G8" i="6"/>
  <c r="G12" i="6"/>
  <c r="I12" i="6"/>
  <c r="I3" i="7"/>
  <c r="G3" i="7"/>
  <c r="I5" i="7"/>
  <c r="G5" i="7"/>
  <c r="T11" i="11"/>
  <c r="T8" i="11"/>
  <c r="X8" i="11" s="1"/>
  <c r="T3" i="1"/>
  <c r="T11" i="17"/>
  <c r="H8" i="11"/>
  <c r="E8" i="11"/>
  <c r="W11" i="17" l="1"/>
  <c r="X11" i="17"/>
  <c r="I8" i="11"/>
  <c r="G8" i="11"/>
  <c r="W11" i="11"/>
  <c r="X11" i="11"/>
  <c r="X3" i="1"/>
  <c r="W3" i="1"/>
  <c r="H2" i="17"/>
  <c r="E2" i="17"/>
  <c r="G2" i="7" l="1"/>
  <c r="I2" i="7"/>
  <c r="I2" i="2" l="1"/>
  <c r="I2" i="3"/>
  <c r="I2" i="4"/>
  <c r="I2" i="5"/>
  <c r="I2" i="6"/>
  <c r="I2" i="8"/>
  <c r="I2" i="11"/>
  <c r="I2" i="12"/>
  <c r="I2" i="13"/>
  <c r="I2" i="14"/>
  <c r="I2" i="17"/>
  <c r="I2" i="18"/>
  <c r="I2" i="22"/>
  <c r="I2" i="21"/>
  <c r="I2" i="1"/>
  <c r="G2" i="2"/>
  <c r="G2" i="3"/>
  <c r="G2" i="4"/>
  <c r="G2" i="5"/>
  <c r="G2" i="6"/>
  <c r="G2" i="8"/>
  <c r="G2" i="11"/>
  <c r="G2" i="12"/>
  <c r="G2" i="13"/>
  <c r="G2" i="14"/>
  <c r="G2" i="17"/>
  <c r="G2" i="18"/>
  <c r="G2" i="22"/>
  <c r="G2" i="21"/>
  <c r="G2" i="1"/>
  <c r="C10" i="21" l="1"/>
  <c r="C11" i="21"/>
  <c r="C12" i="21"/>
  <c r="C13" i="21"/>
  <c r="C14" i="21"/>
  <c r="C10" i="22"/>
  <c r="C9" i="22"/>
  <c r="C9" i="20"/>
  <c r="C15" i="19"/>
  <c r="C10" i="18"/>
  <c r="C11" i="18"/>
  <c r="C19" i="18"/>
  <c r="C9" i="18"/>
  <c r="C10" i="17"/>
  <c r="C12" i="17"/>
  <c r="C13" i="17"/>
  <c r="C24" i="17"/>
  <c r="C26" i="17"/>
  <c r="C27" i="17"/>
  <c r="C9" i="17"/>
  <c r="C11" i="14"/>
  <c r="C19" i="14"/>
  <c r="C26" i="14"/>
  <c r="C27" i="14"/>
  <c r="C19" i="12"/>
  <c r="C26" i="12"/>
  <c r="C27" i="12"/>
  <c r="C16" i="11"/>
  <c r="C26" i="11"/>
  <c r="C9" i="11"/>
  <c r="C11" i="8"/>
  <c r="C13" i="8"/>
  <c r="C19" i="8"/>
  <c r="C24" i="8"/>
  <c r="C26" i="8"/>
  <c r="C27" i="8"/>
  <c r="C9" i="8"/>
  <c r="C10" i="6"/>
  <c r="C11" i="6"/>
  <c r="C12" i="6"/>
  <c r="C13" i="6"/>
  <c r="C16" i="6"/>
  <c r="C19" i="6"/>
  <c r="C9" i="6"/>
  <c r="C26" i="5"/>
  <c r="C27" i="5"/>
  <c r="C9" i="5"/>
  <c r="C10" i="4"/>
  <c r="C19" i="4"/>
  <c r="C26" i="4"/>
  <c r="C27" i="4"/>
  <c r="C11" i="3"/>
  <c r="C11" i="2"/>
  <c r="C13" i="2"/>
  <c r="C15" i="2"/>
  <c r="C16" i="2"/>
  <c r="C19" i="2"/>
  <c r="C26" i="2"/>
  <c r="C27" i="2"/>
  <c r="C10" i="2"/>
</calcChain>
</file>

<file path=xl/sharedStrings.xml><?xml version="1.0" encoding="utf-8"?>
<sst xmlns="http://schemas.openxmlformats.org/spreadsheetml/2006/main" count="1675" uniqueCount="137">
  <si>
    <t>Match</t>
  </si>
  <si>
    <t>No</t>
  </si>
  <si>
    <t>Runs</t>
  </si>
  <si>
    <t>HS</t>
  </si>
  <si>
    <t>Ave</t>
  </si>
  <si>
    <t>BF</t>
  </si>
  <si>
    <t>SR</t>
  </si>
  <si>
    <t>4s</t>
  </si>
  <si>
    <t>6s</t>
  </si>
  <si>
    <t>CT</t>
  </si>
  <si>
    <t>ST</t>
  </si>
  <si>
    <t>Balls</t>
  </si>
  <si>
    <t>WKTS</t>
  </si>
  <si>
    <t>BBM</t>
  </si>
  <si>
    <t>Econ</t>
  </si>
  <si>
    <t>4W</t>
  </si>
  <si>
    <t>5W</t>
  </si>
  <si>
    <t>Rohit Sharma</t>
  </si>
  <si>
    <t>Yuvraj Singh</t>
  </si>
  <si>
    <t>Hardik Pandiya</t>
  </si>
  <si>
    <t>Quinton de kock</t>
  </si>
  <si>
    <t>Anukul Roy</t>
  </si>
  <si>
    <t>Ishan Kishan</t>
  </si>
  <si>
    <t>Kieron Pollard</t>
  </si>
  <si>
    <t>Suryakumar Yadav</t>
  </si>
  <si>
    <t>Krunal Pandya</t>
  </si>
  <si>
    <t>Lashith Malinga</t>
  </si>
  <si>
    <t>Jasprit bumrah</t>
  </si>
  <si>
    <t>Mitchell Mcclenagham</t>
  </si>
  <si>
    <t>Rahul Chahar</t>
  </si>
  <si>
    <t>Jayant Yadav</t>
  </si>
  <si>
    <t>Ben cutting</t>
  </si>
  <si>
    <t>Siddhesh Lad</t>
  </si>
  <si>
    <t>Beuran Hendricks</t>
  </si>
  <si>
    <t>Aditya Tare</t>
  </si>
  <si>
    <t>Mayank Markande</t>
  </si>
  <si>
    <t>Alzarri Joseph</t>
  </si>
  <si>
    <t>Evin Lewis</t>
  </si>
  <si>
    <t>Rasikh Salam</t>
  </si>
  <si>
    <t>Barinder Saran</t>
  </si>
  <si>
    <t>Jason Behrendorff</t>
  </si>
  <si>
    <t>Anmolpreet Singh</t>
  </si>
  <si>
    <t>Pankaj Jaswal</t>
  </si>
  <si>
    <t>NO</t>
  </si>
  <si>
    <t>Notout</t>
  </si>
  <si>
    <t>Highest Score</t>
  </si>
  <si>
    <t>Ball Faced</t>
  </si>
  <si>
    <t>Catch</t>
  </si>
  <si>
    <t>Stump</t>
  </si>
  <si>
    <t>RO</t>
  </si>
  <si>
    <t>Run Out</t>
  </si>
  <si>
    <t>Wicket</t>
  </si>
  <si>
    <t>Best Bowling Figure in Match</t>
  </si>
  <si>
    <t>Inn</t>
  </si>
  <si>
    <t>Innings</t>
  </si>
  <si>
    <t>Overs</t>
  </si>
  <si>
    <t>3--13</t>
  </si>
  <si>
    <t>1--24</t>
  </si>
  <si>
    <t>2--16</t>
  </si>
  <si>
    <t>4--35</t>
  </si>
  <si>
    <t>1--14</t>
  </si>
  <si>
    <t>2--17</t>
  </si>
  <si>
    <t>1--19</t>
  </si>
  <si>
    <t>4--29</t>
  </si>
  <si>
    <t>2--21</t>
  </si>
  <si>
    <t>1--22</t>
  </si>
  <si>
    <t>2--28</t>
  </si>
  <si>
    <t>1--7</t>
  </si>
  <si>
    <t>1--36</t>
  </si>
  <si>
    <t>3--30</t>
  </si>
  <si>
    <t>1--25</t>
  </si>
  <si>
    <t>4--46</t>
  </si>
  <si>
    <t>2--6</t>
  </si>
  <si>
    <t>2--35</t>
  </si>
  <si>
    <t>1--15</t>
  </si>
  <si>
    <t>3--24</t>
  </si>
  <si>
    <t>1--31</t>
  </si>
  <si>
    <t>3--15</t>
  </si>
  <si>
    <t>2--33</t>
  </si>
  <si>
    <t>5--14</t>
  </si>
  <si>
    <t>1--20</t>
  </si>
  <si>
    <t>3--9</t>
  </si>
  <si>
    <t>4--18</t>
  </si>
  <si>
    <t>2--24</t>
  </si>
  <si>
    <t>1--42</t>
  </si>
  <si>
    <t>1--33</t>
  </si>
  <si>
    <t>3--40</t>
  </si>
  <si>
    <t>3--27</t>
  </si>
  <si>
    <t>2--37</t>
  </si>
  <si>
    <t>3--7</t>
  </si>
  <si>
    <t>2--26</t>
  </si>
  <si>
    <t>1--39</t>
  </si>
  <si>
    <t>3--29</t>
  </si>
  <si>
    <t>1--45</t>
  </si>
  <si>
    <t>2--34</t>
  </si>
  <si>
    <t>3--17</t>
  </si>
  <si>
    <t>1--34</t>
  </si>
  <si>
    <t>4--21</t>
  </si>
  <si>
    <t>3--25</t>
  </si>
  <si>
    <t>2--47</t>
  </si>
  <si>
    <t>1--28</t>
  </si>
  <si>
    <t>1--26</t>
  </si>
  <si>
    <t>1--8</t>
  </si>
  <si>
    <t>2--36</t>
  </si>
  <si>
    <t>2--20</t>
  </si>
  <si>
    <t>3--36</t>
  </si>
  <si>
    <t>2--43</t>
  </si>
  <si>
    <t>1--35</t>
  </si>
  <si>
    <t>1--43</t>
  </si>
  <si>
    <t>1--29</t>
  </si>
  <si>
    <t>3--32</t>
  </si>
  <si>
    <t>2--19</t>
  </si>
  <si>
    <t>Player Name</t>
  </si>
  <si>
    <t>2--25</t>
  </si>
  <si>
    <t>1--10</t>
  </si>
  <si>
    <t>1--12</t>
  </si>
  <si>
    <t>1--27</t>
  </si>
  <si>
    <t>1--23</t>
  </si>
  <si>
    <t>3--23</t>
  </si>
  <si>
    <t>1--21</t>
  </si>
  <si>
    <t>2--27</t>
  </si>
  <si>
    <t>1--37</t>
  </si>
  <si>
    <t>2--30</t>
  </si>
  <si>
    <t>4--25</t>
  </si>
  <si>
    <t>6--12</t>
  </si>
  <si>
    <t>2--46</t>
  </si>
  <si>
    <t>3--26</t>
  </si>
  <si>
    <t>2--12</t>
  </si>
  <si>
    <t>1--17</t>
  </si>
  <si>
    <t>1--56</t>
  </si>
  <si>
    <t>2--7</t>
  </si>
  <si>
    <t>4--37</t>
  </si>
  <si>
    <t>2--13</t>
  </si>
  <si>
    <t>2--14</t>
  </si>
  <si>
    <t>2--54</t>
  </si>
  <si>
    <t>1--48</t>
  </si>
  <si>
    <t>1--54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</si>
</sst>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Border="1" applyAlignment="1"/>
    <xf numFmtId="0" fontId="0" fillId="0" borderId="1" xfId="0" applyFill="1" applyBorder="1" applyAlignment="1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1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E8" sqref="E8"/>
    </sheetView>
  </sheetViews>
  <sheetFormatPr defaultRowHeight="15" x14ac:dyDescent="0.25"/>
  <cols>
    <col min="2" max="2" width="29.28515625" customWidth="1"/>
  </cols>
  <sheetData>
    <row r="1" spans="1:4" x14ac:dyDescent="0.25">
      <c r="A1" s="7" t="s">
        <v>43</v>
      </c>
      <c r="B1" s="7" t="s">
        <v>44</v>
      </c>
      <c r="C1" s="9"/>
      <c r="D1" s="9"/>
    </row>
    <row r="2" spans="1:4" x14ac:dyDescent="0.25">
      <c r="A2" s="3" t="s">
        <v>3</v>
      </c>
      <c r="B2" s="7" t="s">
        <v>45</v>
      </c>
      <c r="C2" s="9"/>
      <c r="D2" s="9"/>
    </row>
    <row r="3" spans="1:4" x14ac:dyDescent="0.25">
      <c r="A3" s="7" t="s">
        <v>5</v>
      </c>
      <c r="B3" s="7" t="s">
        <v>46</v>
      </c>
      <c r="C3" s="9"/>
      <c r="D3" s="9"/>
    </row>
    <row r="4" spans="1:4" x14ac:dyDescent="0.25">
      <c r="A4" s="3" t="s">
        <v>9</v>
      </c>
      <c r="B4" s="8" t="s">
        <v>47</v>
      </c>
      <c r="C4" s="9"/>
      <c r="D4" s="9"/>
    </row>
    <row r="5" spans="1:4" x14ac:dyDescent="0.25">
      <c r="A5" s="4" t="s">
        <v>10</v>
      </c>
      <c r="B5" s="8" t="s">
        <v>48</v>
      </c>
      <c r="C5" s="9"/>
      <c r="D5" s="9"/>
    </row>
    <row r="6" spans="1:4" x14ac:dyDescent="0.25">
      <c r="A6" s="4" t="s">
        <v>49</v>
      </c>
      <c r="B6" s="8" t="s">
        <v>50</v>
      </c>
      <c r="C6" s="9"/>
      <c r="D6" s="9"/>
    </row>
    <row r="7" spans="1:4" x14ac:dyDescent="0.25">
      <c r="A7" s="3" t="s">
        <v>12</v>
      </c>
      <c r="B7" s="8" t="s">
        <v>51</v>
      </c>
      <c r="C7" s="9"/>
      <c r="D7" s="9"/>
    </row>
    <row r="8" spans="1:4" x14ac:dyDescent="0.25">
      <c r="A8" s="4" t="s">
        <v>13</v>
      </c>
      <c r="B8" s="8" t="s">
        <v>52</v>
      </c>
      <c r="C8" s="9"/>
      <c r="D8" s="9"/>
    </row>
    <row r="9" spans="1:4" x14ac:dyDescent="0.25">
      <c r="A9" s="10" t="s">
        <v>53</v>
      </c>
      <c r="B9" s="8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7"/>
  <sheetViews>
    <sheetView topLeftCell="I1" workbookViewId="0">
      <selection activeCell="Y12" sqref="Y12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3</v>
      </c>
      <c r="C2" s="5">
        <v>3</v>
      </c>
      <c r="D2" s="5">
        <v>0</v>
      </c>
      <c r="E2" s="5">
        <v>89</v>
      </c>
      <c r="F2" s="5">
        <v>49</v>
      </c>
      <c r="G2" s="6">
        <f>E2/B2</f>
        <v>29.666666666666668</v>
      </c>
      <c r="H2" s="5">
        <v>59</v>
      </c>
      <c r="I2" s="6">
        <f>E2/H2*100</f>
        <v>150.84745762711864</v>
      </c>
      <c r="J2" s="5">
        <v>0</v>
      </c>
      <c r="K2" s="5">
        <v>0</v>
      </c>
      <c r="L2" s="5">
        <v>5</v>
      </c>
      <c r="M2" s="5">
        <v>7</v>
      </c>
      <c r="N2" s="5">
        <v>2</v>
      </c>
      <c r="O2" s="5">
        <v>0</v>
      </c>
      <c r="P2" s="5">
        <v>0</v>
      </c>
      <c r="Q2" s="4" t="s">
        <v>17</v>
      </c>
      <c r="R2" s="5">
        <v>2</v>
      </c>
      <c r="S2" s="5">
        <f>R2*6</f>
        <v>12</v>
      </c>
      <c r="T2" s="5">
        <v>17</v>
      </c>
      <c r="U2" s="5">
        <v>0</v>
      </c>
      <c r="V2" s="5">
        <v>0</v>
      </c>
      <c r="W2" s="6">
        <v>0</v>
      </c>
      <c r="X2" s="6">
        <f>T2/R2</f>
        <v>8.5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6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0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0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2</v>
      </c>
      <c r="C8" s="5">
        <v>2</v>
      </c>
      <c r="D8" s="5">
        <v>1</v>
      </c>
      <c r="E8" s="5">
        <f>84</f>
        <v>84</v>
      </c>
      <c r="F8" s="5">
        <v>70</v>
      </c>
      <c r="G8" s="6">
        <f t="shared" ref="G8:G16" si="1">E8/B8</f>
        <v>42</v>
      </c>
      <c r="H8" s="5">
        <f>46</f>
        <v>46</v>
      </c>
      <c r="I8" s="6">
        <f t="shared" ref="I8:I16" si="2">E8/H8*100</f>
        <v>182.60869565217391</v>
      </c>
      <c r="J8" s="5">
        <v>0</v>
      </c>
      <c r="K8" s="5">
        <v>2</v>
      </c>
      <c r="L8" s="5">
        <v>7</v>
      </c>
      <c r="M8" s="5">
        <v>6</v>
      </c>
      <c r="N8" s="5">
        <v>1</v>
      </c>
      <c r="O8" s="5">
        <v>0</v>
      </c>
      <c r="P8" s="5">
        <v>0</v>
      </c>
      <c r="Q8" s="4" t="s">
        <v>23</v>
      </c>
      <c r="R8" s="5">
        <v>1</v>
      </c>
      <c r="S8" s="5">
        <f t="shared" si="0"/>
        <v>6</v>
      </c>
      <c r="T8" s="5">
        <f>48-37</f>
        <v>11</v>
      </c>
      <c r="U8" s="5">
        <v>0</v>
      </c>
      <c r="V8" s="5">
        <v>0</v>
      </c>
      <c r="W8" s="6">
        <v>0</v>
      </c>
      <c r="X8" s="6">
        <f t="shared" ref="X8:X16" si="3">T8/R8</f>
        <v>11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f>B9</f>
        <v>1</v>
      </c>
      <c r="D9" s="5">
        <v>1</v>
      </c>
      <c r="E9" s="5">
        <v>9</v>
      </c>
      <c r="F9" s="5">
        <v>9</v>
      </c>
      <c r="G9" s="6">
        <f t="shared" si="1"/>
        <v>9</v>
      </c>
      <c r="H9" s="5">
        <v>17</v>
      </c>
      <c r="I9" s="6">
        <f t="shared" si="2"/>
        <v>52.941176470588239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0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0"/>
        <v>24</v>
      </c>
      <c r="T11" s="5">
        <f>70-28</f>
        <v>42</v>
      </c>
      <c r="U11" s="5">
        <v>1</v>
      </c>
      <c r="V11" s="5" t="s">
        <v>84</v>
      </c>
      <c r="W11" s="6">
        <f t="shared" ref="W11:W16" si="4">T11/U11</f>
        <v>42</v>
      </c>
      <c r="X11" s="6">
        <f t="shared" si="3"/>
        <v>10.5</v>
      </c>
      <c r="Y11" s="6">
        <f t="shared" ref="Y11:Y16" si="5">S11/U11</f>
        <v>24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3</v>
      </c>
      <c r="S12" s="5">
        <f t="shared" si="0"/>
        <v>18</v>
      </c>
      <c r="T12" s="5">
        <v>25</v>
      </c>
      <c r="U12" s="5">
        <v>0</v>
      </c>
      <c r="V12" s="5">
        <v>0</v>
      </c>
      <c r="W12" s="6">
        <v>0</v>
      </c>
      <c r="X12" s="6">
        <f t="shared" si="3"/>
        <v>8.3333333333333339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0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0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1</v>
      </c>
      <c r="C16" s="5">
        <f t="shared" ref="C16:C26" si="6">B16</f>
        <v>1</v>
      </c>
      <c r="D16" s="5">
        <v>0</v>
      </c>
      <c r="E16" s="5">
        <v>8</v>
      </c>
      <c r="F16" s="5">
        <v>8</v>
      </c>
      <c r="G16" s="6">
        <f t="shared" si="1"/>
        <v>8</v>
      </c>
      <c r="H16" s="5">
        <v>6</v>
      </c>
      <c r="I16" s="6">
        <f t="shared" si="2"/>
        <v>133.33333333333331</v>
      </c>
      <c r="J16" s="5">
        <v>0</v>
      </c>
      <c r="K16" s="5">
        <v>0</v>
      </c>
      <c r="L16" s="5">
        <v>0</v>
      </c>
      <c r="M16" s="5">
        <v>1</v>
      </c>
      <c r="N16" s="5">
        <v>1</v>
      </c>
      <c r="O16" s="5">
        <v>0</v>
      </c>
      <c r="P16" s="5">
        <v>1</v>
      </c>
      <c r="Q16" s="4" t="s">
        <v>31</v>
      </c>
      <c r="R16" s="5">
        <v>4</v>
      </c>
      <c r="S16" s="5">
        <f t="shared" si="0"/>
        <v>24</v>
      </c>
      <c r="T16" s="5">
        <v>31</v>
      </c>
      <c r="U16" s="5">
        <v>1</v>
      </c>
      <c r="V16" s="5" t="s">
        <v>76</v>
      </c>
      <c r="W16" s="6">
        <f t="shared" si="4"/>
        <v>31</v>
      </c>
      <c r="X16" s="6">
        <f t="shared" si="3"/>
        <v>7.75</v>
      </c>
      <c r="Y16" s="6">
        <f t="shared" si="5"/>
        <v>24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0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7"/>
  <sheetViews>
    <sheetView workbookViewId="0">
      <selection activeCell="N21" sqref="N21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3</v>
      </c>
      <c r="C2" s="5">
        <v>3</v>
      </c>
      <c r="D2" s="5">
        <v>0</v>
      </c>
      <c r="E2" s="5">
        <v>97</v>
      </c>
      <c r="F2" s="5">
        <v>51</v>
      </c>
      <c r="G2" s="6">
        <f>E2/B2</f>
        <v>32.333333333333336</v>
      </c>
      <c r="H2" s="5">
        <v>77</v>
      </c>
      <c r="I2" s="6">
        <f>E2/H2*100</f>
        <v>125.97402597402598</v>
      </c>
      <c r="J2" s="5">
        <v>0</v>
      </c>
      <c r="K2" s="5">
        <v>1</v>
      </c>
      <c r="L2" s="5">
        <v>7</v>
      </c>
      <c r="M2" s="5">
        <v>5</v>
      </c>
      <c r="N2" s="5">
        <v>1</v>
      </c>
      <c r="O2" s="5">
        <v>0</v>
      </c>
      <c r="P2" s="5">
        <v>0</v>
      </c>
      <c r="Q2" s="4" t="s">
        <v>17</v>
      </c>
      <c r="R2" s="5">
        <v>4</v>
      </c>
      <c r="S2" s="5">
        <f>R2*6</f>
        <v>24</v>
      </c>
      <c r="T2" s="5">
        <v>26</v>
      </c>
      <c r="U2" s="5">
        <v>1</v>
      </c>
      <c r="V2" s="5" t="s">
        <v>62</v>
      </c>
      <c r="W2" s="6">
        <f>T2/U2</f>
        <v>26</v>
      </c>
      <c r="X2" s="6">
        <f>T2/R2</f>
        <v>6.5</v>
      </c>
      <c r="Y2" s="6">
        <f>S2/U2</f>
        <v>24</v>
      </c>
      <c r="Z2" s="5">
        <v>0</v>
      </c>
      <c r="AA2" s="5">
        <v>0</v>
      </c>
    </row>
    <row r="3" spans="1:27" x14ac:dyDescent="0.25">
      <c r="A3" s="4" t="s">
        <v>18</v>
      </c>
      <c r="B3" s="5">
        <v>1</v>
      </c>
      <c r="C3" s="5">
        <v>1</v>
      </c>
      <c r="D3" s="5">
        <v>0</v>
      </c>
      <c r="E3" s="5">
        <v>4</v>
      </c>
      <c r="F3" s="5">
        <v>4</v>
      </c>
      <c r="G3" s="6">
        <f t="shared" ref="G3:G19" si="0">E3/B3</f>
        <v>4</v>
      </c>
      <c r="H3" s="5">
        <v>6</v>
      </c>
      <c r="I3" s="6">
        <f t="shared" ref="I3:I19" si="1">E3/H3*100</f>
        <v>66.666666666666657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4</v>
      </c>
      <c r="S3" s="5">
        <f t="shared" ref="S3:S27" si="2">R3*6</f>
        <v>24</v>
      </c>
      <c r="T3" s="5">
        <v>21</v>
      </c>
      <c r="U3" s="5">
        <v>2</v>
      </c>
      <c r="V3" s="5" t="s">
        <v>64</v>
      </c>
      <c r="W3" s="6">
        <f t="shared" ref="W3:W11" si="3">T3/U3</f>
        <v>10.5</v>
      </c>
      <c r="X3" s="6">
        <f t="shared" ref="X3:X12" si="4">T3/R3</f>
        <v>5.25</v>
      </c>
      <c r="Y3" s="6">
        <f t="shared" ref="Y3:Y11" si="5">S3/U3</f>
        <v>12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2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1</v>
      </c>
      <c r="C8" s="5">
        <v>1</v>
      </c>
      <c r="D8" s="5">
        <v>1</v>
      </c>
      <c r="E8" s="5">
        <v>10</v>
      </c>
      <c r="F8" s="5">
        <v>10</v>
      </c>
      <c r="G8" s="6">
        <f t="shared" si="0"/>
        <v>10</v>
      </c>
      <c r="H8" s="5">
        <v>11</v>
      </c>
      <c r="I8" s="6">
        <f t="shared" si="1"/>
        <v>90.909090909090907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4" t="s">
        <v>23</v>
      </c>
      <c r="R8" s="5">
        <v>1</v>
      </c>
      <c r="S8" s="5">
        <f t="shared" si="2"/>
        <v>6</v>
      </c>
      <c r="T8" s="5">
        <v>7</v>
      </c>
      <c r="U8" s="5">
        <v>0</v>
      </c>
      <c r="V8" s="5">
        <v>0</v>
      </c>
      <c r="W8" s="6">
        <v>0</v>
      </c>
      <c r="X8" s="6">
        <f t="shared" si="4"/>
        <v>7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2</v>
      </c>
      <c r="O9" s="5">
        <v>0</v>
      </c>
      <c r="P9" s="5">
        <v>1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2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2"/>
        <v>24</v>
      </c>
      <c r="T11" s="5">
        <v>33</v>
      </c>
      <c r="U11" s="5">
        <v>1</v>
      </c>
      <c r="V11" s="5" t="s">
        <v>85</v>
      </c>
      <c r="W11" s="6">
        <f t="shared" si="3"/>
        <v>33</v>
      </c>
      <c r="X11" s="6">
        <f t="shared" si="4"/>
        <v>8.25</v>
      </c>
      <c r="Y11" s="6">
        <f t="shared" si="5"/>
        <v>24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3</v>
      </c>
      <c r="S12" s="5">
        <f t="shared" si="2"/>
        <v>18</v>
      </c>
      <c r="T12" s="5">
        <v>23</v>
      </c>
      <c r="U12" s="5">
        <v>0</v>
      </c>
      <c r="V12" s="5">
        <v>0</v>
      </c>
      <c r="W12" s="6">
        <v>0</v>
      </c>
      <c r="X12" s="6">
        <f t="shared" si="4"/>
        <v>7.666666666666667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2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1</v>
      </c>
      <c r="C19" s="5">
        <f t="shared" ref="C19:C27" si="6">B19</f>
        <v>1</v>
      </c>
      <c r="D19" s="5">
        <v>1</v>
      </c>
      <c r="E19" s="5">
        <v>2</v>
      </c>
      <c r="F19" s="5">
        <v>2</v>
      </c>
      <c r="G19" s="6">
        <f t="shared" si="0"/>
        <v>2</v>
      </c>
      <c r="H19" s="5">
        <v>3</v>
      </c>
      <c r="I19" s="6">
        <f t="shared" si="1"/>
        <v>66.666666666666657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2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2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7"/>
  <sheetViews>
    <sheetView topLeftCell="E1" workbookViewId="0">
      <selection activeCell="W2" sqref="W2 Y2 W3:Y27 G3:G27 I3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3</v>
      </c>
      <c r="C2" s="5">
        <v>3</v>
      </c>
      <c r="D2" s="5">
        <v>0</v>
      </c>
      <c r="E2" s="5">
        <v>132</v>
      </c>
      <c r="F2" s="5">
        <v>73</v>
      </c>
      <c r="G2" s="6">
        <f>E2/B2</f>
        <v>44</v>
      </c>
      <c r="H2" s="5">
        <v>105</v>
      </c>
      <c r="I2" s="6">
        <f>E2/H2*100</f>
        <v>125.71428571428571</v>
      </c>
      <c r="J2" s="5">
        <v>0</v>
      </c>
      <c r="K2" s="5">
        <v>2</v>
      </c>
      <c r="L2" s="5">
        <v>15</v>
      </c>
      <c r="M2" s="5">
        <v>2</v>
      </c>
      <c r="N2" s="5">
        <v>1</v>
      </c>
      <c r="O2" s="5">
        <v>0</v>
      </c>
      <c r="P2" s="5">
        <v>1</v>
      </c>
      <c r="Q2" s="4" t="s">
        <v>17</v>
      </c>
      <c r="R2" s="5">
        <v>2</v>
      </c>
      <c r="S2" s="5">
        <f>R2*6</f>
        <v>12</v>
      </c>
      <c r="T2" s="5">
        <v>21</v>
      </c>
      <c r="U2" s="5">
        <v>0</v>
      </c>
      <c r="V2" s="5">
        <v>0</v>
      </c>
      <c r="W2" s="6">
        <v>0</v>
      </c>
      <c r="X2" s="6">
        <f>T2/R2</f>
        <v>10.5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6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0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0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6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4" t="s">
        <v>23</v>
      </c>
      <c r="R8" s="5">
        <v>0</v>
      </c>
      <c r="S8" s="5">
        <f t="shared" si="0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0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0</v>
      </c>
      <c r="S11" s="5">
        <f t="shared" si="0"/>
        <v>0</v>
      </c>
      <c r="T11" s="5">
        <v>0</v>
      </c>
      <c r="U11" s="5">
        <v>0</v>
      </c>
      <c r="V11" s="5">
        <v>0</v>
      </c>
      <c r="W11" s="6">
        <v>0</v>
      </c>
      <c r="X11" s="6">
        <v>0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0</v>
      </c>
      <c r="S12" s="5">
        <f t="shared" si="0"/>
        <v>0</v>
      </c>
      <c r="T12" s="5">
        <v>0</v>
      </c>
      <c r="U12" s="5">
        <v>0</v>
      </c>
      <c r="V12" s="5">
        <v>0</v>
      </c>
      <c r="W12" s="6">
        <v>0</v>
      </c>
      <c r="X12" s="6">
        <v>0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0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0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0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0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9"/>
  <sheetViews>
    <sheetView topLeftCell="I1" workbookViewId="0">
      <selection activeCell="W2" sqref="W2 Y2 W4:Y7 G4:G7 I4:I7 W9:Y10 G9:G10 I9:I10 W12:Y27 G12:G18 I12:I18 G20:G27 I20:I27"/>
    </sheetView>
  </sheetViews>
  <sheetFormatPr defaultRowHeight="15" x14ac:dyDescent="0.25"/>
  <cols>
    <col min="1" max="1" width="20.5703125" customWidth="1"/>
    <col min="7" max="7" width="9.140625" style="11"/>
    <col min="8" max="8" width="9.140625" style="14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3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2</v>
      </c>
      <c r="C2" s="5">
        <v>2</v>
      </c>
      <c r="D2" s="5">
        <v>1</v>
      </c>
      <c r="E2" s="5">
        <v>93</v>
      </c>
      <c r="F2" s="5">
        <v>68</v>
      </c>
      <c r="G2" s="6">
        <f>E2/B2</f>
        <v>46.5</v>
      </c>
      <c r="H2" s="12">
        <v>63</v>
      </c>
      <c r="I2" s="6">
        <f>E2/H2*100</f>
        <v>147.61904761904762</v>
      </c>
      <c r="J2" s="5">
        <v>0</v>
      </c>
      <c r="K2" s="5">
        <v>1</v>
      </c>
      <c r="L2" s="5">
        <v>8</v>
      </c>
      <c r="M2" s="5">
        <v>4</v>
      </c>
      <c r="N2" s="5">
        <v>0</v>
      </c>
      <c r="O2" s="5">
        <v>0</v>
      </c>
      <c r="P2" s="5">
        <v>0</v>
      </c>
      <c r="Q2" s="4" t="s">
        <v>17</v>
      </c>
      <c r="R2" s="5">
        <v>2</v>
      </c>
      <c r="S2" s="5">
        <f>R2*6</f>
        <v>12</v>
      </c>
      <c r="T2" s="5">
        <v>9</v>
      </c>
      <c r="U2" s="5">
        <v>0</v>
      </c>
      <c r="V2" s="5">
        <v>0</v>
      </c>
      <c r="W2" s="6">
        <v>0</v>
      </c>
      <c r="X2" s="6">
        <f>T2/R2</f>
        <v>4.5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2</v>
      </c>
      <c r="C3" s="5">
        <v>2</v>
      </c>
      <c r="D3" s="5">
        <v>0</v>
      </c>
      <c r="E3" s="5">
        <v>21</v>
      </c>
      <c r="F3" s="5">
        <v>20</v>
      </c>
      <c r="G3" s="6">
        <f t="shared" ref="G3:G19" si="0">E3/B3</f>
        <v>10.5</v>
      </c>
      <c r="H3" s="12">
        <v>24</v>
      </c>
      <c r="I3" s="6">
        <f t="shared" ref="I3:I19" si="1">E3/H3*100</f>
        <v>87.5</v>
      </c>
      <c r="J3" s="5">
        <v>0</v>
      </c>
      <c r="K3" s="5">
        <v>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4" t="s">
        <v>18</v>
      </c>
      <c r="R3" s="5">
        <v>3</v>
      </c>
      <c r="S3" s="5">
        <f t="shared" ref="S3:S27" si="2">R3*6</f>
        <v>18</v>
      </c>
      <c r="T3" s="5">
        <v>29</v>
      </c>
      <c r="U3" s="5">
        <v>1</v>
      </c>
      <c r="V3" s="5" t="s">
        <v>65</v>
      </c>
      <c r="W3" s="6">
        <f t="shared" ref="W3:W11" si="3">T3/U3</f>
        <v>29</v>
      </c>
      <c r="X3" s="6">
        <f t="shared" ref="X3:X11" si="4">T3/R3</f>
        <v>9.6666666666666661</v>
      </c>
      <c r="Y3" s="6">
        <f t="shared" ref="Y3:Y11" si="5">S3/U3</f>
        <v>18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12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2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12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12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12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1</v>
      </c>
      <c r="C8" s="5">
        <v>1</v>
      </c>
      <c r="D8" s="5">
        <v>0</v>
      </c>
      <c r="E8" s="5">
        <v>22</v>
      </c>
      <c r="F8" s="5">
        <v>22</v>
      </c>
      <c r="G8" s="6">
        <f t="shared" si="0"/>
        <v>22</v>
      </c>
      <c r="H8" s="12">
        <v>21</v>
      </c>
      <c r="I8" s="6">
        <f t="shared" si="1"/>
        <v>104.76190476190477</v>
      </c>
      <c r="J8" s="5">
        <v>0</v>
      </c>
      <c r="K8" s="5">
        <v>0</v>
      </c>
      <c r="L8" s="5">
        <v>1</v>
      </c>
      <c r="M8" s="5">
        <v>1</v>
      </c>
      <c r="N8" s="5">
        <v>1</v>
      </c>
      <c r="O8" s="5">
        <v>0</v>
      </c>
      <c r="P8" s="5">
        <v>0</v>
      </c>
      <c r="Q8" s="4" t="s">
        <v>23</v>
      </c>
      <c r="R8" s="5">
        <v>2</v>
      </c>
      <c r="S8" s="5">
        <f t="shared" si="2"/>
        <v>12</v>
      </c>
      <c r="T8" s="5">
        <v>22</v>
      </c>
      <c r="U8" s="5">
        <v>1</v>
      </c>
      <c r="V8" s="5" t="s">
        <v>65</v>
      </c>
      <c r="W8" s="6">
        <f t="shared" si="3"/>
        <v>22</v>
      </c>
      <c r="X8" s="6">
        <f t="shared" si="4"/>
        <v>11</v>
      </c>
      <c r="Y8" s="6">
        <f t="shared" si="5"/>
        <v>12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12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12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2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f t="shared" ref="C11:C27" si="6">B11</f>
        <v>1</v>
      </c>
      <c r="D11" s="5">
        <v>1</v>
      </c>
      <c r="E11" s="5">
        <v>1</v>
      </c>
      <c r="F11" s="5">
        <v>1</v>
      </c>
      <c r="G11" s="6">
        <f t="shared" si="0"/>
        <v>1</v>
      </c>
      <c r="H11" s="12">
        <v>1</v>
      </c>
      <c r="I11" s="6">
        <f t="shared" si="1"/>
        <v>100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2"/>
        <v>24</v>
      </c>
      <c r="T11" s="5">
        <v>40</v>
      </c>
      <c r="U11" s="5">
        <v>3</v>
      </c>
      <c r="V11" s="5" t="s">
        <v>86</v>
      </c>
      <c r="W11" s="6">
        <f t="shared" si="3"/>
        <v>13.333333333333334</v>
      </c>
      <c r="X11" s="6">
        <f t="shared" si="4"/>
        <v>10</v>
      </c>
      <c r="Y11" s="6">
        <f t="shared" si="5"/>
        <v>8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12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0</v>
      </c>
      <c r="S12" s="5">
        <f t="shared" si="2"/>
        <v>0</v>
      </c>
      <c r="T12" s="5">
        <v>0</v>
      </c>
      <c r="U12" s="5">
        <v>0</v>
      </c>
      <c r="V12" s="5">
        <v>0</v>
      </c>
      <c r="W12" s="6">
        <v>0</v>
      </c>
      <c r="X12" s="6">
        <v>0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12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2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12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12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12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12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12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1</v>
      </c>
      <c r="C19" s="5">
        <f t="shared" si="6"/>
        <v>1</v>
      </c>
      <c r="D19" s="5">
        <v>0</v>
      </c>
      <c r="E19" s="5">
        <v>22</v>
      </c>
      <c r="F19" s="5">
        <v>22</v>
      </c>
      <c r="G19" s="6">
        <f t="shared" si="0"/>
        <v>22</v>
      </c>
      <c r="H19" s="12">
        <v>12</v>
      </c>
      <c r="I19" s="6">
        <f t="shared" si="1"/>
        <v>183.33333333333331</v>
      </c>
      <c r="J19" s="5">
        <v>0</v>
      </c>
      <c r="K19" s="5">
        <v>0</v>
      </c>
      <c r="L19" s="5">
        <v>2</v>
      </c>
      <c r="M19" s="5">
        <v>2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12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2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12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12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12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12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2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12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12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12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  <row r="28" spans="1:27" x14ac:dyDescent="0.25">
      <c r="G28"/>
      <c r="H28"/>
      <c r="I28"/>
    </row>
    <row r="29" spans="1:27" x14ac:dyDescent="0.25">
      <c r="G29"/>
      <c r="H29"/>
      <c r="I29"/>
    </row>
    <row r="30" spans="1:27" x14ac:dyDescent="0.25">
      <c r="G30"/>
      <c r="H30"/>
      <c r="I30"/>
    </row>
    <row r="31" spans="1:27" x14ac:dyDescent="0.25">
      <c r="G31"/>
      <c r="H31"/>
      <c r="I31"/>
    </row>
    <row r="32" spans="1:27" x14ac:dyDescent="0.25">
      <c r="G32"/>
      <c r="H32"/>
      <c r="I32"/>
    </row>
    <row r="33" spans="7:9" x14ac:dyDescent="0.25">
      <c r="G33"/>
      <c r="H33"/>
      <c r="I33"/>
    </row>
    <row r="34" spans="7:9" x14ac:dyDescent="0.25">
      <c r="G34"/>
      <c r="H34"/>
      <c r="I34"/>
    </row>
    <row r="35" spans="7:9" x14ac:dyDescent="0.25">
      <c r="G35"/>
      <c r="H35"/>
      <c r="I35"/>
    </row>
    <row r="36" spans="7:9" x14ac:dyDescent="0.25">
      <c r="G36"/>
      <c r="H36"/>
      <c r="I36"/>
    </row>
    <row r="37" spans="7:9" x14ac:dyDescent="0.25">
      <c r="G37"/>
      <c r="H37"/>
      <c r="I37"/>
    </row>
    <row r="38" spans="7:9" x14ac:dyDescent="0.25">
      <c r="G38"/>
      <c r="H38"/>
      <c r="I38"/>
    </row>
    <row r="39" spans="7:9" x14ac:dyDescent="0.25">
      <c r="G39"/>
      <c r="H39"/>
      <c r="I39"/>
    </row>
    <row r="40" spans="7:9" x14ac:dyDescent="0.25">
      <c r="G40"/>
      <c r="H40"/>
      <c r="I40"/>
    </row>
    <row r="41" spans="7:9" x14ac:dyDescent="0.25">
      <c r="G41"/>
      <c r="H41"/>
      <c r="I41"/>
    </row>
    <row r="42" spans="7:9" x14ac:dyDescent="0.25">
      <c r="G42"/>
      <c r="H42"/>
      <c r="I42"/>
    </row>
    <row r="43" spans="7:9" x14ac:dyDescent="0.25">
      <c r="G43"/>
      <c r="H43"/>
      <c r="I43"/>
    </row>
    <row r="44" spans="7:9" x14ac:dyDescent="0.25">
      <c r="G44"/>
      <c r="H44"/>
      <c r="I44"/>
    </row>
    <row r="45" spans="7:9" x14ac:dyDescent="0.25">
      <c r="G45"/>
      <c r="H45"/>
      <c r="I45"/>
    </row>
    <row r="46" spans="7:9" x14ac:dyDescent="0.25">
      <c r="G46"/>
      <c r="H46"/>
      <c r="I46"/>
    </row>
    <row r="47" spans="7:9" x14ac:dyDescent="0.25">
      <c r="G47"/>
      <c r="H47"/>
      <c r="I47"/>
    </row>
    <row r="48" spans="7:9" x14ac:dyDescent="0.25">
      <c r="G48"/>
      <c r="H48"/>
      <c r="I48"/>
    </row>
    <row r="49" spans="7:9" x14ac:dyDescent="0.25">
      <c r="G49"/>
      <c r="H49"/>
      <c r="I49"/>
    </row>
    <row r="50" spans="7:9" x14ac:dyDescent="0.25">
      <c r="G50"/>
      <c r="H50"/>
      <c r="I50"/>
    </row>
    <row r="51" spans="7:9" x14ac:dyDescent="0.25">
      <c r="G51"/>
      <c r="H51"/>
      <c r="I51"/>
    </row>
    <row r="52" spans="7:9" x14ac:dyDescent="0.25">
      <c r="G52"/>
      <c r="H52"/>
      <c r="I52"/>
    </row>
    <row r="53" spans="7:9" x14ac:dyDescent="0.25">
      <c r="G53"/>
      <c r="H53"/>
      <c r="I53"/>
    </row>
    <row r="54" spans="7:9" x14ac:dyDescent="0.25">
      <c r="G54"/>
      <c r="H54"/>
      <c r="I54"/>
    </row>
    <row r="55" spans="7:9" x14ac:dyDescent="0.25">
      <c r="G55"/>
      <c r="H55"/>
      <c r="I55"/>
    </row>
    <row r="56" spans="7:9" x14ac:dyDescent="0.25">
      <c r="G56"/>
      <c r="H56"/>
      <c r="I56"/>
    </row>
    <row r="57" spans="7:9" x14ac:dyDescent="0.25">
      <c r="G57"/>
      <c r="H57"/>
      <c r="I57"/>
    </row>
    <row r="58" spans="7:9" x14ac:dyDescent="0.25">
      <c r="G58"/>
      <c r="H58"/>
      <c r="I58"/>
    </row>
    <row r="59" spans="7:9" x14ac:dyDescent="0.25">
      <c r="G59"/>
      <c r="H59"/>
      <c r="I59"/>
    </row>
    <row r="60" spans="7:9" x14ac:dyDescent="0.25">
      <c r="G60"/>
      <c r="H60"/>
      <c r="I60"/>
    </row>
    <row r="61" spans="7:9" x14ac:dyDescent="0.25">
      <c r="G61"/>
      <c r="H61"/>
      <c r="I61"/>
    </row>
    <row r="62" spans="7:9" x14ac:dyDescent="0.25">
      <c r="G62"/>
      <c r="H62"/>
      <c r="I62"/>
    </row>
    <row r="63" spans="7:9" x14ac:dyDescent="0.25">
      <c r="G63"/>
      <c r="H63"/>
      <c r="I63"/>
    </row>
    <row r="64" spans="7:9" x14ac:dyDescent="0.25">
      <c r="G64"/>
      <c r="H64"/>
      <c r="I64"/>
    </row>
    <row r="65" spans="7:9" x14ac:dyDescent="0.25">
      <c r="G65"/>
      <c r="H65"/>
      <c r="I65"/>
    </row>
    <row r="66" spans="7:9" x14ac:dyDescent="0.25">
      <c r="G66"/>
      <c r="H66"/>
      <c r="I66"/>
    </row>
    <row r="67" spans="7:9" x14ac:dyDescent="0.25">
      <c r="G67"/>
      <c r="H67"/>
      <c r="I67"/>
    </row>
    <row r="68" spans="7:9" x14ac:dyDescent="0.25">
      <c r="G68"/>
      <c r="H68"/>
      <c r="I68"/>
    </row>
    <row r="69" spans="7:9" x14ac:dyDescent="0.25">
      <c r="G69"/>
      <c r="H69"/>
      <c r="I69"/>
    </row>
    <row r="70" spans="7:9" x14ac:dyDescent="0.25">
      <c r="G70"/>
      <c r="H70"/>
      <c r="I70"/>
    </row>
    <row r="71" spans="7:9" x14ac:dyDescent="0.25">
      <c r="G71"/>
      <c r="H71"/>
      <c r="I71"/>
    </row>
    <row r="72" spans="7:9" x14ac:dyDescent="0.25">
      <c r="G72"/>
      <c r="H72"/>
      <c r="I72"/>
    </row>
    <row r="73" spans="7:9" x14ac:dyDescent="0.25">
      <c r="G73"/>
      <c r="H73"/>
      <c r="I73"/>
    </row>
    <row r="74" spans="7:9" x14ac:dyDescent="0.25">
      <c r="G74"/>
      <c r="H74"/>
      <c r="I74"/>
    </row>
    <row r="75" spans="7:9" x14ac:dyDescent="0.25">
      <c r="G75"/>
      <c r="H75"/>
      <c r="I75"/>
    </row>
    <row r="76" spans="7:9" x14ac:dyDescent="0.25">
      <c r="G76"/>
      <c r="H76"/>
      <c r="I76"/>
    </row>
    <row r="77" spans="7:9" x14ac:dyDescent="0.25">
      <c r="G77"/>
      <c r="H77"/>
      <c r="I77"/>
    </row>
    <row r="78" spans="7:9" x14ac:dyDescent="0.25">
      <c r="G78"/>
      <c r="H78"/>
      <c r="I78"/>
    </row>
    <row r="79" spans="7:9" x14ac:dyDescent="0.25">
      <c r="G79"/>
      <c r="H79"/>
      <c r="I79"/>
    </row>
    <row r="80" spans="7:9" x14ac:dyDescent="0.25">
      <c r="G80"/>
      <c r="H80"/>
      <c r="I80"/>
    </row>
    <row r="81" spans="7:9" x14ac:dyDescent="0.25">
      <c r="G81"/>
      <c r="H81"/>
      <c r="I81"/>
    </row>
    <row r="82" spans="7:9" x14ac:dyDescent="0.25">
      <c r="G82"/>
      <c r="H82"/>
      <c r="I82"/>
    </row>
    <row r="83" spans="7:9" x14ac:dyDescent="0.25">
      <c r="G83"/>
      <c r="H83"/>
      <c r="I83"/>
    </row>
    <row r="84" spans="7:9" x14ac:dyDescent="0.25">
      <c r="G84"/>
      <c r="H84"/>
      <c r="I84"/>
    </row>
    <row r="85" spans="7:9" x14ac:dyDescent="0.25">
      <c r="G85"/>
      <c r="H85"/>
      <c r="I85"/>
    </row>
    <row r="86" spans="7:9" x14ac:dyDescent="0.25">
      <c r="G86"/>
      <c r="H86"/>
      <c r="I86"/>
    </row>
    <row r="87" spans="7:9" x14ac:dyDescent="0.25">
      <c r="G87"/>
      <c r="H87"/>
      <c r="I87"/>
    </row>
    <row r="88" spans="7:9" x14ac:dyDescent="0.25">
      <c r="G88"/>
      <c r="H88"/>
      <c r="I88"/>
    </row>
    <row r="89" spans="7:9" x14ac:dyDescent="0.25">
      <c r="G89"/>
      <c r="H89"/>
      <c r="I89"/>
    </row>
    <row r="90" spans="7:9" x14ac:dyDescent="0.25">
      <c r="G90"/>
      <c r="H90"/>
      <c r="I90"/>
    </row>
    <row r="91" spans="7:9" x14ac:dyDescent="0.25">
      <c r="G91"/>
      <c r="H91"/>
      <c r="I91"/>
    </row>
    <row r="92" spans="7:9" x14ac:dyDescent="0.25">
      <c r="G92"/>
      <c r="H92"/>
      <c r="I92"/>
    </row>
    <row r="93" spans="7:9" x14ac:dyDescent="0.25">
      <c r="G93"/>
      <c r="H93"/>
      <c r="I93"/>
    </row>
    <row r="94" spans="7:9" x14ac:dyDescent="0.25">
      <c r="G94"/>
      <c r="H94"/>
      <c r="I94"/>
    </row>
    <row r="95" spans="7:9" x14ac:dyDescent="0.25">
      <c r="G95"/>
      <c r="H95"/>
      <c r="I95"/>
    </row>
    <row r="96" spans="7:9" x14ac:dyDescent="0.25">
      <c r="G96"/>
      <c r="H96"/>
      <c r="I96"/>
    </row>
    <row r="97" spans="7:9" x14ac:dyDescent="0.25">
      <c r="G97"/>
      <c r="H97"/>
      <c r="I97"/>
    </row>
    <row r="98" spans="7:9" x14ac:dyDescent="0.25">
      <c r="G98"/>
      <c r="H98"/>
      <c r="I98"/>
    </row>
    <row r="99" spans="7:9" x14ac:dyDescent="0.25">
      <c r="G99"/>
      <c r="H99"/>
      <c r="I99"/>
    </row>
    <row r="100" spans="7:9" x14ac:dyDescent="0.25">
      <c r="G100"/>
      <c r="H100"/>
      <c r="I100"/>
    </row>
    <row r="101" spans="7:9" x14ac:dyDescent="0.25">
      <c r="G101"/>
      <c r="H101"/>
      <c r="I101"/>
    </row>
    <row r="102" spans="7:9" x14ac:dyDescent="0.25">
      <c r="G102"/>
      <c r="H102"/>
      <c r="I102"/>
    </row>
    <row r="103" spans="7:9" x14ac:dyDescent="0.25">
      <c r="G103"/>
      <c r="H103"/>
      <c r="I103"/>
    </row>
    <row r="104" spans="7:9" x14ac:dyDescent="0.25">
      <c r="G104"/>
      <c r="H104"/>
      <c r="I104"/>
    </row>
    <row r="105" spans="7:9" x14ac:dyDescent="0.25">
      <c r="G105"/>
      <c r="H105"/>
      <c r="I105"/>
    </row>
    <row r="106" spans="7:9" x14ac:dyDescent="0.25">
      <c r="G106"/>
      <c r="H106"/>
      <c r="I106"/>
    </row>
    <row r="107" spans="7:9" x14ac:dyDescent="0.25">
      <c r="G107"/>
      <c r="H107"/>
      <c r="I107"/>
    </row>
    <row r="108" spans="7:9" x14ac:dyDescent="0.25">
      <c r="G108"/>
      <c r="H108"/>
      <c r="I108"/>
    </row>
    <row r="109" spans="7:9" x14ac:dyDescent="0.25">
      <c r="G109"/>
      <c r="H109"/>
      <c r="I10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7"/>
  <sheetViews>
    <sheetView topLeftCell="I1" workbookViewId="0">
      <selection activeCell="Y2" sqref="Y2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0</v>
      </c>
      <c r="H2" s="5">
        <v>0</v>
      </c>
      <c r="I2" s="6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6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0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0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6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4" t="s">
        <v>23</v>
      </c>
      <c r="R8" s="5">
        <v>0</v>
      </c>
      <c r="S8" s="5">
        <f t="shared" si="0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0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0</v>
      </c>
      <c r="S11" s="5">
        <f t="shared" si="0"/>
        <v>0</v>
      </c>
      <c r="T11" s="5">
        <v>0</v>
      </c>
      <c r="U11" s="5">
        <v>0</v>
      </c>
      <c r="V11" s="5">
        <v>0</v>
      </c>
      <c r="W11" s="6">
        <v>0</v>
      </c>
      <c r="X11" s="6">
        <v>0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0</v>
      </c>
      <c r="S12" s="5">
        <f t="shared" si="0"/>
        <v>0</v>
      </c>
      <c r="T12" s="5">
        <v>0</v>
      </c>
      <c r="U12" s="5">
        <v>0</v>
      </c>
      <c r="V12" s="5">
        <v>0</v>
      </c>
      <c r="W12" s="6">
        <v>0</v>
      </c>
      <c r="X12" s="6">
        <v>0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0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0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0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0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7"/>
  <sheetViews>
    <sheetView topLeftCell="I1" workbookViewId="0">
      <selection activeCell="W2" sqref="W2:Y3 W5:Y9 G5:G6 I5:I6 G8:G9 I8:I9 W11 Y11 W15:Y15 W17:Y19 G11:G21 I11:I21 W21:Y23 G23 I23 W25:Y27 G25:G27 I25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</v>
      </c>
      <c r="C2" s="5">
        <v>1</v>
      </c>
      <c r="D2" s="5">
        <v>1</v>
      </c>
      <c r="E2" s="5">
        <v>24</v>
      </c>
      <c r="F2" s="5">
        <v>24</v>
      </c>
      <c r="G2" s="6">
        <f>E2/B2</f>
        <v>24</v>
      </c>
      <c r="H2" s="5">
        <v>15</v>
      </c>
      <c r="I2" s="6">
        <f>E2/H2*100</f>
        <v>160</v>
      </c>
      <c r="J2" s="5">
        <v>0</v>
      </c>
      <c r="K2" s="5">
        <v>0</v>
      </c>
      <c r="L2" s="5">
        <v>1</v>
      </c>
      <c r="M2" s="5">
        <v>2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</v>
      </c>
      <c r="C3" s="5">
        <v>1</v>
      </c>
      <c r="D3" s="5">
        <v>0</v>
      </c>
      <c r="E3" s="5">
        <v>14</v>
      </c>
      <c r="F3" s="5">
        <v>14</v>
      </c>
      <c r="G3" s="6">
        <f t="shared" ref="G3:G24" si="0">E3/B3</f>
        <v>14</v>
      </c>
      <c r="H3" s="5">
        <v>14</v>
      </c>
      <c r="I3" s="6">
        <f t="shared" ref="I3:I24" si="1">E3/H3*100</f>
        <v>100</v>
      </c>
      <c r="J3" s="5">
        <v>0</v>
      </c>
      <c r="K3" s="5">
        <v>0</v>
      </c>
      <c r="L3" s="5">
        <v>0</v>
      </c>
      <c r="M3" s="5">
        <v>1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2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2</v>
      </c>
      <c r="C4" s="5">
        <v>2</v>
      </c>
      <c r="D4" s="5">
        <v>1</v>
      </c>
      <c r="E4" s="5">
        <f>15+23</f>
        <v>38</v>
      </c>
      <c r="F4" s="5">
        <v>23</v>
      </c>
      <c r="G4" s="6">
        <f t="shared" si="0"/>
        <v>19</v>
      </c>
      <c r="H4" s="5">
        <f>13+4</f>
        <v>17</v>
      </c>
      <c r="I4" s="6">
        <f t="shared" si="1"/>
        <v>223.52941176470588</v>
      </c>
      <c r="J4" s="5">
        <v>0</v>
      </c>
      <c r="K4" s="5">
        <v>0</v>
      </c>
      <c r="L4" s="5">
        <v>4</v>
      </c>
      <c r="M4" s="5">
        <v>2</v>
      </c>
      <c r="N4" s="5">
        <v>2</v>
      </c>
      <c r="O4" s="5">
        <v>0</v>
      </c>
      <c r="P4" s="5">
        <v>0</v>
      </c>
      <c r="Q4" s="4" t="s">
        <v>19</v>
      </c>
      <c r="R4" s="5">
        <v>6</v>
      </c>
      <c r="S4" s="5">
        <f t="shared" si="2"/>
        <v>36</v>
      </c>
      <c r="T4" s="5">
        <f>54+18</f>
        <v>72</v>
      </c>
      <c r="U4" s="5">
        <v>1</v>
      </c>
      <c r="V4" s="5" t="s">
        <v>136</v>
      </c>
      <c r="W4" s="6">
        <f t="shared" ref="W4:W24" si="3">T4/U4</f>
        <v>72</v>
      </c>
      <c r="X4" s="6">
        <f t="shared" ref="X4:X24" si="4">T4/R4</f>
        <v>12</v>
      </c>
      <c r="Y4" s="6">
        <f t="shared" ref="Y4:Y24" si="5">S4/U4</f>
        <v>36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1</v>
      </c>
      <c r="C7" s="5">
        <v>1</v>
      </c>
      <c r="D7" s="5">
        <v>0</v>
      </c>
      <c r="E7" s="5">
        <v>26</v>
      </c>
      <c r="F7" s="5">
        <v>26</v>
      </c>
      <c r="G7" s="6">
        <f t="shared" si="0"/>
        <v>26</v>
      </c>
      <c r="H7" s="5">
        <v>19</v>
      </c>
      <c r="I7" s="6">
        <f t="shared" si="1"/>
        <v>136.84210526315789</v>
      </c>
      <c r="J7" s="5">
        <v>0</v>
      </c>
      <c r="K7" s="5">
        <v>0</v>
      </c>
      <c r="L7" s="5">
        <v>0</v>
      </c>
      <c r="M7" s="5">
        <v>3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6">
        <v>0</v>
      </c>
      <c r="J8" s="5">
        <v>0</v>
      </c>
      <c r="K8" s="5">
        <v>0</v>
      </c>
      <c r="L8" s="5">
        <v>0</v>
      </c>
      <c r="M8" s="5">
        <v>0</v>
      </c>
      <c r="N8" s="5">
        <v>2</v>
      </c>
      <c r="O8" s="5">
        <v>0</v>
      </c>
      <c r="P8" s="5">
        <v>0</v>
      </c>
      <c r="Q8" s="4" t="s">
        <v>23</v>
      </c>
      <c r="R8" s="5">
        <v>0</v>
      </c>
      <c r="S8" s="5">
        <f t="shared" si="2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1</v>
      </c>
      <c r="C10" s="5">
        <v>1</v>
      </c>
      <c r="D10" s="5">
        <v>1</v>
      </c>
      <c r="E10" s="5">
        <v>36</v>
      </c>
      <c r="F10" s="5">
        <v>36</v>
      </c>
      <c r="G10" s="6">
        <f t="shared" si="0"/>
        <v>36</v>
      </c>
      <c r="H10" s="5">
        <v>12</v>
      </c>
      <c r="I10" s="6">
        <f t="shared" si="1"/>
        <v>300</v>
      </c>
      <c r="J10" s="5">
        <v>0</v>
      </c>
      <c r="K10" s="5">
        <v>0</v>
      </c>
      <c r="L10" s="5">
        <v>5</v>
      </c>
      <c r="M10" s="5">
        <v>2</v>
      </c>
      <c r="N10" s="5">
        <v>1</v>
      </c>
      <c r="O10" s="5">
        <v>0</v>
      </c>
      <c r="P10" s="5">
        <v>0</v>
      </c>
      <c r="Q10" s="4" t="s">
        <v>25</v>
      </c>
      <c r="R10" s="5">
        <v>5</v>
      </c>
      <c r="S10" s="5">
        <f t="shared" si="2"/>
        <v>30</v>
      </c>
      <c r="T10" s="5">
        <v>41</v>
      </c>
      <c r="U10" s="5">
        <v>1</v>
      </c>
      <c r="V10" s="5" t="s">
        <v>76</v>
      </c>
      <c r="W10" s="6">
        <f t="shared" si="3"/>
        <v>41</v>
      </c>
      <c r="X10" s="6">
        <f t="shared" si="4"/>
        <v>8.1999999999999993</v>
      </c>
      <c r="Y10" s="6">
        <f t="shared" si="5"/>
        <v>30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2"/>
        <v>24</v>
      </c>
      <c r="T11" s="5">
        <v>60</v>
      </c>
      <c r="U11" s="5">
        <v>0</v>
      </c>
      <c r="V11" s="5">
        <v>0</v>
      </c>
      <c r="W11" s="6">
        <v>0</v>
      </c>
      <c r="X11" s="6">
        <f t="shared" si="4"/>
        <v>15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8</v>
      </c>
      <c r="S12" s="5">
        <f t="shared" si="2"/>
        <v>48</v>
      </c>
      <c r="T12" s="5">
        <v>52</v>
      </c>
      <c r="U12" s="5">
        <v>2</v>
      </c>
      <c r="V12" s="5" t="s">
        <v>80</v>
      </c>
      <c r="W12" s="6">
        <f t="shared" si="3"/>
        <v>26</v>
      </c>
      <c r="X12" s="6">
        <f t="shared" si="4"/>
        <v>6.5</v>
      </c>
      <c r="Y12" s="6">
        <f t="shared" si="5"/>
        <v>24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8</v>
      </c>
      <c r="S13" s="5">
        <f t="shared" si="2"/>
        <v>48</v>
      </c>
      <c r="T13" s="5">
        <f>47+33</f>
        <v>80</v>
      </c>
      <c r="U13" s="5">
        <v>3</v>
      </c>
      <c r="V13" s="5" t="s">
        <v>99</v>
      </c>
      <c r="W13" s="6">
        <f t="shared" si="3"/>
        <v>26.666666666666668</v>
      </c>
      <c r="X13" s="6">
        <f t="shared" si="4"/>
        <v>10</v>
      </c>
      <c r="Y13" s="6">
        <f t="shared" si="5"/>
        <v>16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4</v>
      </c>
      <c r="S14" s="5">
        <f t="shared" si="2"/>
        <v>24</v>
      </c>
      <c r="T14" s="5">
        <v>36</v>
      </c>
      <c r="U14" s="5">
        <v>1</v>
      </c>
      <c r="V14" s="5" t="s">
        <v>68</v>
      </c>
      <c r="W14" s="6">
        <f t="shared" si="3"/>
        <v>36</v>
      </c>
      <c r="X14" s="6">
        <f t="shared" si="4"/>
        <v>9</v>
      </c>
      <c r="Y14" s="6">
        <f t="shared" si="5"/>
        <v>24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3</v>
      </c>
      <c r="S16" s="5">
        <f t="shared" si="2"/>
        <v>18</v>
      </c>
      <c r="T16" s="5">
        <v>28</v>
      </c>
      <c r="U16" s="5">
        <v>1</v>
      </c>
      <c r="V16" s="5" t="s">
        <v>100</v>
      </c>
      <c r="W16" s="6">
        <f t="shared" si="3"/>
        <v>28</v>
      </c>
      <c r="X16" s="6">
        <f t="shared" si="4"/>
        <v>9.3333333333333339</v>
      </c>
      <c r="Y16" s="6">
        <f t="shared" si="5"/>
        <v>18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3</v>
      </c>
      <c r="S20" s="5">
        <f t="shared" si="2"/>
        <v>18</v>
      </c>
      <c r="T20" s="5">
        <v>31</v>
      </c>
      <c r="U20" s="5">
        <v>1</v>
      </c>
      <c r="V20" s="5" t="s">
        <v>76</v>
      </c>
      <c r="W20" s="6">
        <f t="shared" si="3"/>
        <v>31</v>
      </c>
      <c r="X20" s="6">
        <f t="shared" si="4"/>
        <v>10.333333333333334</v>
      </c>
      <c r="Y20" s="6">
        <f t="shared" si="5"/>
        <v>18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10</v>
      </c>
      <c r="F22" s="5">
        <v>10</v>
      </c>
      <c r="G22" s="6">
        <f t="shared" si="0"/>
        <v>10</v>
      </c>
      <c r="H22" s="5">
        <v>13</v>
      </c>
      <c r="I22" s="6">
        <f t="shared" si="1"/>
        <v>76.923076923076934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6">
        <f t="shared" si="0"/>
        <v>1</v>
      </c>
      <c r="H24" s="5">
        <v>1</v>
      </c>
      <c r="I24" s="6">
        <f t="shared" si="1"/>
        <v>100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3</v>
      </c>
      <c r="S24" s="5">
        <f t="shared" si="2"/>
        <v>18</v>
      </c>
      <c r="T24" s="5">
        <v>48</v>
      </c>
      <c r="U24" s="5">
        <v>1</v>
      </c>
      <c r="V24" s="5" t="s">
        <v>135</v>
      </c>
      <c r="W24" s="6">
        <f t="shared" si="3"/>
        <v>48</v>
      </c>
      <c r="X24" s="6">
        <f t="shared" si="4"/>
        <v>16</v>
      </c>
      <c r="Y24" s="6">
        <f t="shared" si="5"/>
        <v>18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7"/>
  <sheetViews>
    <sheetView topLeftCell="C1" workbookViewId="0">
      <selection activeCell="X2" sqref="X2 W2:W4 Y2:Y4 W5:Y7 G6:G7 I6:I7 W9:Y9 G11 I11 W14:Y23 G14:G23 I14:I23 W25:Y25 W26:X27 G25:G27 I25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4</v>
      </c>
      <c r="C2" s="5">
        <v>4</v>
      </c>
      <c r="D2" s="5">
        <v>1</v>
      </c>
      <c r="E2" s="5">
        <f>124</f>
        <v>124</v>
      </c>
      <c r="F2" s="5">
        <v>73</v>
      </c>
      <c r="G2" s="6">
        <f>E2/B2</f>
        <v>31</v>
      </c>
      <c r="H2" s="5">
        <f>98</f>
        <v>98</v>
      </c>
      <c r="I2" s="6">
        <f>E2/H2*100</f>
        <v>126.53061224489797</v>
      </c>
      <c r="J2" s="5">
        <v>0</v>
      </c>
      <c r="K2" s="5">
        <v>1</v>
      </c>
      <c r="L2" s="5">
        <v>7</v>
      </c>
      <c r="M2" s="5">
        <v>8</v>
      </c>
      <c r="N2" s="5">
        <v>2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3</v>
      </c>
      <c r="C3" s="5">
        <v>3</v>
      </c>
      <c r="D3" s="5">
        <v>0</v>
      </c>
      <c r="E3" s="5">
        <v>71</v>
      </c>
      <c r="F3" s="5">
        <v>39</v>
      </c>
      <c r="G3" s="6">
        <f t="shared" ref="G3:G24" si="0">E3/B3</f>
        <v>23.666666666666668</v>
      </c>
      <c r="H3" s="5">
        <v>57</v>
      </c>
      <c r="I3" s="6">
        <f t="shared" ref="I3:I24" si="1">E3/H3*100</f>
        <v>124.56140350877195</v>
      </c>
      <c r="J3" s="5">
        <v>0</v>
      </c>
      <c r="K3" s="5">
        <v>0</v>
      </c>
      <c r="L3" s="5">
        <v>4</v>
      </c>
      <c r="M3" s="5">
        <v>4</v>
      </c>
      <c r="N3" s="5">
        <v>0</v>
      </c>
      <c r="O3" s="5">
        <v>0</v>
      </c>
      <c r="P3" s="5">
        <v>0</v>
      </c>
      <c r="Q3" s="4" t="s">
        <v>18</v>
      </c>
      <c r="R3" s="5">
        <v>2</v>
      </c>
      <c r="S3" s="5">
        <f t="shared" ref="S3:S27" si="2">R3*6</f>
        <v>12</v>
      </c>
      <c r="T3" s="5">
        <v>20</v>
      </c>
      <c r="U3" s="5">
        <v>0</v>
      </c>
      <c r="V3" s="5">
        <v>0</v>
      </c>
      <c r="W3" s="6">
        <v>0</v>
      </c>
      <c r="X3" s="6">
        <f t="shared" ref="X3:X24" si="3">T3/R3</f>
        <v>10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1</v>
      </c>
      <c r="C4" s="5">
        <v>1</v>
      </c>
      <c r="D4" s="5">
        <v>0</v>
      </c>
      <c r="E4" s="5">
        <v>7</v>
      </c>
      <c r="F4" s="5">
        <v>7</v>
      </c>
      <c r="G4" s="6">
        <f t="shared" si="0"/>
        <v>7</v>
      </c>
      <c r="H4" s="5">
        <v>16</v>
      </c>
      <c r="I4" s="6">
        <f t="shared" si="1"/>
        <v>43.75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1</v>
      </c>
      <c r="S4" s="5">
        <f t="shared" si="2"/>
        <v>6</v>
      </c>
      <c r="T4" s="5">
        <v>10</v>
      </c>
      <c r="U4" s="5">
        <v>0</v>
      </c>
      <c r="V4" s="5">
        <v>0</v>
      </c>
      <c r="W4" s="6">
        <v>0</v>
      </c>
      <c r="X4" s="6">
        <f t="shared" si="3"/>
        <v>10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2</v>
      </c>
      <c r="C5" s="5">
        <v>2</v>
      </c>
      <c r="D5" s="5">
        <v>0</v>
      </c>
      <c r="E5" s="5">
        <v>42</v>
      </c>
      <c r="F5" s="5">
        <v>40</v>
      </c>
      <c r="G5" s="6">
        <f t="shared" si="0"/>
        <v>21</v>
      </c>
      <c r="H5" s="5">
        <v>36</v>
      </c>
      <c r="I5" s="6">
        <f t="shared" si="1"/>
        <v>116.66666666666667</v>
      </c>
      <c r="J5" s="5">
        <v>0</v>
      </c>
      <c r="K5" s="5">
        <v>0</v>
      </c>
      <c r="L5" s="5">
        <v>4</v>
      </c>
      <c r="M5" s="5">
        <v>2</v>
      </c>
      <c r="N5" s="5">
        <v>1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4</v>
      </c>
      <c r="C8" s="5">
        <v>4</v>
      </c>
      <c r="D8" s="5">
        <v>0</v>
      </c>
      <c r="E8" s="5">
        <v>65</v>
      </c>
      <c r="F8" s="5">
        <v>27</v>
      </c>
      <c r="G8" s="6">
        <f t="shared" si="0"/>
        <v>16.25</v>
      </c>
      <c r="H8" s="5">
        <v>57</v>
      </c>
      <c r="I8" s="6">
        <f t="shared" si="1"/>
        <v>114.03508771929825</v>
      </c>
      <c r="J8" s="5">
        <v>0</v>
      </c>
      <c r="K8" s="5">
        <v>0</v>
      </c>
      <c r="L8" s="5">
        <v>2</v>
      </c>
      <c r="M8" s="5">
        <v>6</v>
      </c>
      <c r="N8" s="5">
        <v>4</v>
      </c>
      <c r="O8" s="5">
        <v>0</v>
      </c>
      <c r="P8" s="5">
        <v>0</v>
      </c>
      <c r="Q8" s="4" t="s">
        <v>23</v>
      </c>
      <c r="R8" s="5">
        <v>6</v>
      </c>
      <c r="S8" s="5">
        <f t="shared" si="2"/>
        <v>36</v>
      </c>
      <c r="T8" s="5">
        <v>59</v>
      </c>
      <c r="U8" s="5">
        <v>2</v>
      </c>
      <c r="V8" s="5" t="s">
        <v>73</v>
      </c>
      <c r="W8" s="6">
        <f t="shared" ref="W8:W24" si="4">T8/U8</f>
        <v>29.5</v>
      </c>
      <c r="X8" s="6">
        <f t="shared" si="3"/>
        <v>9.8333333333333339</v>
      </c>
      <c r="Y8" s="6">
        <f t="shared" ref="Y8:Y24" si="5">S8/U8</f>
        <v>18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f>B9</f>
        <v>1</v>
      </c>
      <c r="D9" s="5">
        <v>1</v>
      </c>
      <c r="E9" s="5">
        <v>2</v>
      </c>
      <c r="F9" s="5">
        <v>2</v>
      </c>
      <c r="G9" s="6">
        <f t="shared" si="0"/>
        <v>2</v>
      </c>
      <c r="H9" s="5">
        <v>2</v>
      </c>
      <c r="I9" s="6">
        <f t="shared" si="1"/>
        <v>100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3</v>
      </c>
      <c r="C10" s="5">
        <f t="shared" ref="C10:C27" si="6">B10</f>
        <v>3</v>
      </c>
      <c r="D10" s="5">
        <v>0</v>
      </c>
      <c r="E10" s="5">
        <v>122</v>
      </c>
      <c r="F10" s="5">
        <v>86</v>
      </c>
      <c r="G10" s="6">
        <f t="shared" si="0"/>
        <v>40.666666666666664</v>
      </c>
      <c r="H10" s="5">
        <v>60</v>
      </c>
      <c r="I10" s="6">
        <f t="shared" si="1"/>
        <v>203.33333333333331</v>
      </c>
      <c r="J10" s="5">
        <v>0</v>
      </c>
      <c r="K10" s="5">
        <v>1</v>
      </c>
      <c r="L10" s="5">
        <v>10</v>
      </c>
      <c r="M10" s="5">
        <v>8</v>
      </c>
      <c r="N10" s="5">
        <v>0</v>
      </c>
      <c r="O10" s="5">
        <v>0</v>
      </c>
      <c r="P10" s="5">
        <v>0</v>
      </c>
      <c r="Q10" s="4" t="s">
        <v>25</v>
      </c>
      <c r="R10" s="5">
        <v>8</v>
      </c>
      <c r="S10" s="5">
        <f t="shared" si="2"/>
        <v>48</v>
      </c>
      <c r="T10" s="5">
        <v>53</v>
      </c>
      <c r="U10" s="5">
        <v>2</v>
      </c>
      <c r="V10" s="5" t="s">
        <v>58</v>
      </c>
      <c r="W10" s="6">
        <f t="shared" si="4"/>
        <v>26.5</v>
      </c>
      <c r="X10" s="6">
        <f t="shared" si="3"/>
        <v>6.625</v>
      </c>
      <c r="Y10" s="6">
        <f t="shared" si="5"/>
        <v>24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2"/>
        <v>24</v>
      </c>
      <c r="T11" s="5">
        <f>51-24</f>
        <v>27</v>
      </c>
      <c r="U11" s="5">
        <v>3</v>
      </c>
      <c r="V11" s="5" t="s">
        <v>87</v>
      </c>
      <c r="W11" s="6">
        <f t="shared" si="4"/>
        <v>9</v>
      </c>
      <c r="X11" s="6">
        <f t="shared" si="3"/>
        <v>6.75</v>
      </c>
      <c r="Y11" s="6">
        <f t="shared" si="5"/>
        <v>8</v>
      </c>
      <c r="Z11" s="5">
        <v>0</v>
      </c>
      <c r="AA11" s="5">
        <v>0</v>
      </c>
    </row>
    <row r="12" spans="1:27" x14ac:dyDescent="0.25">
      <c r="A12" s="4" t="s">
        <v>27</v>
      </c>
      <c r="B12" s="5">
        <v>2</v>
      </c>
      <c r="C12" s="5">
        <f t="shared" si="6"/>
        <v>2</v>
      </c>
      <c r="D12" s="5">
        <v>1</v>
      </c>
      <c r="E12" s="5">
        <v>8</v>
      </c>
      <c r="F12" s="5">
        <v>6</v>
      </c>
      <c r="G12" s="6">
        <f t="shared" si="0"/>
        <v>4</v>
      </c>
      <c r="H12" s="5">
        <v>11</v>
      </c>
      <c r="I12" s="6">
        <f t="shared" si="1"/>
        <v>72.727272727272734</v>
      </c>
      <c r="J12" s="5">
        <v>0</v>
      </c>
      <c r="K12" s="5">
        <v>0</v>
      </c>
      <c r="L12" s="5">
        <v>1</v>
      </c>
      <c r="M12" s="5">
        <v>0</v>
      </c>
      <c r="N12" s="5">
        <v>1</v>
      </c>
      <c r="O12" s="5">
        <v>0</v>
      </c>
      <c r="P12" s="5">
        <v>0</v>
      </c>
      <c r="Q12" s="4" t="s">
        <v>27</v>
      </c>
      <c r="R12" s="5">
        <v>10</v>
      </c>
      <c r="S12" s="5">
        <f t="shared" si="2"/>
        <v>60</v>
      </c>
      <c r="T12" s="5">
        <v>62</v>
      </c>
      <c r="U12" s="5">
        <v>3</v>
      </c>
      <c r="V12" s="5" t="s">
        <v>56</v>
      </c>
      <c r="W12" s="6">
        <f t="shared" si="4"/>
        <v>20.666666666666668</v>
      </c>
      <c r="X12" s="6">
        <f t="shared" si="3"/>
        <v>6.2</v>
      </c>
      <c r="Y12" s="6">
        <f t="shared" si="5"/>
        <v>20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2</v>
      </c>
      <c r="C13" s="5">
        <f t="shared" si="6"/>
        <v>2</v>
      </c>
      <c r="D13" s="5">
        <v>0</v>
      </c>
      <c r="E13" s="5">
        <v>12</v>
      </c>
      <c r="F13" s="5">
        <v>8</v>
      </c>
      <c r="G13" s="6">
        <f t="shared" si="0"/>
        <v>6</v>
      </c>
      <c r="H13" s="5">
        <v>13</v>
      </c>
      <c r="I13" s="6">
        <f t="shared" si="1"/>
        <v>92.307692307692307</v>
      </c>
      <c r="J13" s="5">
        <v>0</v>
      </c>
      <c r="K13" s="5">
        <v>0</v>
      </c>
      <c r="L13" s="5">
        <v>2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11</v>
      </c>
      <c r="S13" s="5">
        <f t="shared" si="2"/>
        <v>66</v>
      </c>
      <c r="T13" s="5">
        <v>91</v>
      </c>
      <c r="U13" s="5">
        <v>3</v>
      </c>
      <c r="V13" s="5" t="s">
        <v>90</v>
      </c>
      <c r="W13" s="6">
        <f t="shared" si="4"/>
        <v>30.333333333333332</v>
      </c>
      <c r="X13" s="6">
        <f t="shared" si="3"/>
        <v>8.2727272727272734</v>
      </c>
      <c r="Y13" s="6">
        <f t="shared" si="5"/>
        <v>22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2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1</v>
      </c>
      <c r="C24" s="5">
        <f t="shared" si="6"/>
        <v>1</v>
      </c>
      <c r="D24" s="5">
        <v>1</v>
      </c>
      <c r="E24" s="5">
        <v>1</v>
      </c>
      <c r="F24" s="5">
        <v>1</v>
      </c>
      <c r="G24" s="6">
        <f t="shared" si="0"/>
        <v>1</v>
      </c>
      <c r="H24" s="5">
        <v>1</v>
      </c>
      <c r="I24" s="6">
        <f t="shared" si="1"/>
        <v>100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1</v>
      </c>
      <c r="Q24" s="4" t="s">
        <v>39</v>
      </c>
      <c r="R24" s="5">
        <v>8</v>
      </c>
      <c r="S24" s="5">
        <f t="shared" si="2"/>
        <v>48</v>
      </c>
      <c r="T24" s="5">
        <v>45</v>
      </c>
      <c r="U24" s="5">
        <v>3</v>
      </c>
      <c r="V24" s="5" t="s">
        <v>111</v>
      </c>
      <c r="W24" s="6">
        <f t="shared" si="4"/>
        <v>15</v>
      </c>
      <c r="X24" s="6">
        <f t="shared" si="3"/>
        <v>5.625</v>
      </c>
      <c r="Y24" s="6">
        <f t="shared" si="5"/>
        <v>16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7"/>
  <sheetViews>
    <sheetView tabSelected="1" workbookViewId="0">
      <selection activeCell="Q19" sqref="Q19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5</v>
      </c>
      <c r="C2" s="5">
        <v>5</v>
      </c>
      <c r="D2" s="5">
        <v>2</v>
      </c>
      <c r="E2" s="5">
        <f>128+59</f>
        <v>187</v>
      </c>
      <c r="F2" s="5">
        <v>85</v>
      </c>
      <c r="G2" s="6">
        <f>E2/B2</f>
        <v>37.4</v>
      </c>
      <c r="H2" s="5">
        <f>113+33</f>
        <v>146</v>
      </c>
      <c r="I2" s="6">
        <f>E2/H2*100</f>
        <v>128.08219178082192</v>
      </c>
      <c r="J2" s="5">
        <v>0</v>
      </c>
      <c r="K2" s="5">
        <v>2</v>
      </c>
      <c r="L2" s="5">
        <f>11+6</f>
        <v>17</v>
      </c>
      <c r="M2" s="5">
        <v>5</v>
      </c>
      <c r="N2" s="5">
        <v>1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7</v>
      </c>
      <c r="C3" s="5">
        <v>7</v>
      </c>
      <c r="D3" s="5">
        <v>1</v>
      </c>
      <c r="E3" s="5">
        <v>140</v>
      </c>
      <c r="F3" s="5">
        <v>54</v>
      </c>
      <c r="G3" s="6">
        <f t="shared" ref="G3:G22" si="0">E3/B3</f>
        <v>20</v>
      </c>
      <c r="H3" s="5">
        <v>115</v>
      </c>
      <c r="I3" s="6">
        <f t="shared" ref="I3:I22" si="1">E3/H3*100</f>
        <v>121.73913043478262</v>
      </c>
      <c r="J3" s="5">
        <v>0</v>
      </c>
      <c r="K3" s="5">
        <v>1</v>
      </c>
      <c r="L3" s="5">
        <v>9</v>
      </c>
      <c r="M3" s="5">
        <v>9</v>
      </c>
      <c r="N3" s="5">
        <v>0</v>
      </c>
      <c r="O3" s="5">
        <v>0</v>
      </c>
      <c r="P3" s="5">
        <v>0</v>
      </c>
      <c r="Q3" s="4" t="s">
        <v>18</v>
      </c>
      <c r="R3" s="5">
        <v>12</v>
      </c>
      <c r="S3" s="5">
        <f t="shared" ref="S3:S27" si="2">R3*6</f>
        <v>72</v>
      </c>
      <c r="T3" s="5">
        <v>91</v>
      </c>
      <c r="U3" s="5">
        <v>3</v>
      </c>
      <c r="V3" s="5" t="s">
        <v>66</v>
      </c>
      <c r="W3" s="6">
        <f t="shared" ref="W3:W13" si="3">T3/U3</f>
        <v>30.333333333333332</v>
      </c>
      <c r="X3" s="6">
        <f t="shared" ref="X3:X20" si="4">T3/R3</f>
        <v>7.583333333333333</v>
      </c>
      <c r="Y3" s="6">
        <f t="shared" ref="Y3:Y13" si="5">S3/U3</f>
        <v>24</v>
      </c>
      <c r="Z3" s="5">
        <v>0</v>
      </c>
      <c r="AA3" s="5">
        <v>0</v>
      </c>
    </row>
    <row r="4" spans="1:27" x14ac:dyDescent="0.25">
      <c r="A4" s="4" t="s">
        <v>19</v>
      </c>
      <c r="B4" s="5">
        <v>2</v>
      </c>
      <c r="C4" s="5">
        <v>2</v>
      </c>
      <c r="D4" s="5">
        <v>2</v>
      </c>
      <c r="E4" s="5">
        <f>35+13</f>
        <v>48</v>
      </c>
      <c r="F4" s="5">
        <v>35</v>
      </c>
      <c r="G4" s="6">
        <f t="shared" si="0"/>
        <v>24</v>
      </c>
      <c r="H4" s="5">
        <f>15+8</f>
        <v>23</v>
      </c>
      <c r="I4" s="6">
        <f t="shared" si="1"/>
        <v>208.69565217391303</v>
      </c>
      <c r="J4" s="5">
        <v>0</v>
      </c>
      <c r="K4" s="5">
        <v>0</v>
      </c>
      <c r="L4" s="5">
        <v>1</v>
      </c>
      <c r="M4" s="5">
        <v>5</v>
      </c>
      <c r="N4" s="5">
        <v>1</v>
      </c>
      <c r="O4" s="5">
        <v>0</v>
      </c>
      <c r="P4" s="5">
        <v>0</v>
      </c>
      <c r="Q4" s="4" t="s">
        <v>19</v>
      </c>
      <c r="R4" s="5">
        <v>10</v>
      </c>
      <c r="S4" s="5">
        <f t="shared" si="2"/>
        <v>60</v>
      </c>
      <c r="T4" s="5">
        <v>92</v>
      </c>
      <c r="U4" s="5">
        <v>2</v>
      </c>
      <c r="V4" s="5" t="s">
        <v>68</v>
      </c>
      <c r="W4" s="6">
        <f t="shared" si="3"/>
        <v>46</v>
      </c>
      <c r="X4" s="6">
        <f t="shared" si="4"/>
        <v>9.1999999999999993</v>
      </c>
      <c r="Y4" s="6">
        <f t="shared" si="5"/>
        <v>30</v>
      </c>
      <c r="Z4" s="5">
        <v>0</v>
      </c>
      <c r="AA4" s="5">
        <v>0</v>
      </c>
    </row>
    <row r="5" spans="1:27" x14ac:dyDescent="0.25">
      <c r="A5" s="4" t="s">
        <v>20</v>
      </c>
      <c r="B5" s="5">
        <v>1</v>
      </c>
      <c r="C5" s="5">
        <v>1</v>
      </c>
      <c r="D5" s="5">
        <v>0</v>
      </c>
      <c r="E5" s="5">
        <v>2</v>
      </c>
      <c r="F5" s="5">
        <v>2</v>
      </c>
      <c r="G5" s="6">
        <f t="shared" si="0"/>
        <v>2</v>
      </c>
      <c r="H5" s="5">
        <v>8</v>
      </c>
      <c r="I5" s="6">
        <f t="shared" si="1"/>
        <v>25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2</v>
      </c>
      <c r="C7" s="5">
        <v>2</v>
      </c>
      <c r="D7" s="5">
        <v>0</v>
      </c>
      <c r="E7" s="5">
        <v>31</v>
      </c>
      <c r="F7" s="5">
        <v>31</v>
      </c>
      <c r="G7" s="6">
        <f t="shared" si="0"/>
        <v>15.5</v>
      </c>
      <c r="H7" s="5">
        <v>25</v>
      </c>
      <c r="I7" s="6">
        <f t="shared" si="1"/>
        <v>124</v>
      </c>
      <c r="J7" s="5">
        <v>0</v>
      </c>
      <c r="K7" s="5">
        <v>0</v>
      </c>
      <c r="L7" s="5">
        <v>3</v>
      </c>
      <c r="M7" s="5">
        <v>2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1</v>
      </c>
      <c r="C8" s="5">
        <v>1</v>
      </c>
      <c r="D8" s="5">
        <v>0</v>
      </c>
      <c r="E8" s="5">
        <v>27</v>
      </c>
      <c r="F8" s="5">
        <v>27</v>
      </c>
      <c r="G8" s="6">
        <f t="shared" si="0"/>
        <v>27</v>
      </c>
      <c r="H8" s="5">
        <v>17</v>
      </c>
      <c r="I8" s="6">
        <f t="shared" si="1"/>
        <v>158.8235294117647</v>
      </c>
      <c r="J8" s="5">
        <v>0</v>
      </c>
      <c r="K8" s="5">
        <v>0</v>
      </c>
      <c r="L8" s="5">
        <v>3</v>
      </c>
      <c r="M8" s="5">
        <v>1</v>
      </c>
      <c r="N8" s="5">
        <v>0</v>
      </c>
      <c r="O8" s="5">
        <v>0</v>
      </c>
      <c r="P8" s="5">
        <v>0</v>
      </c>
      <c r="Q8" s="4" t="s">
        <v>23</v>
      </c>
      <c r="R8" s="5">
        <v>2</v>
      </c>
      <c r="S8" s="5">
        <f t="shared" si="2"/>
        <v>12</v>
      </c>
      <c r="T8" s="5">
        <v>31</v>
      </c>
      <c r="U8" s="5">
        <v>0</v>
      </c>
      <c r="V8" s="5">
        <v>0</v>
      </c>
      <c r="W8" s="6">
        <v>0</v>
      </c>
      <c r="X8" s="6">
        <f t="shared" si="4"/>
        <v>15.5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2</v>
      </c>
      <c r="C9" s="5">
        <f>B9</f>
        <v>2</v>
      </c>
      <c r="D9" s="5">
        <v>0</v>
      </c>
      <c r="E9" s="5">
        <v>83</v>
      </c>
      <c r="F9" s="5">
        <v>60</v>
      </c>
      <c r="G9" s="6">
        <f t="shared" si="0"/>
        <v>41.5</v>
      </c>
      <c r="H9" s="5">
        <v>59</v>
      </c>
      <c r="I9" s="6">
        <f t="shared" si="1"/>
        <v>140.67796610169492</v>
      </c>
      <c r="J9" s="5">
        <v>0</v>
      </c>
      <c r="K9" s="5">
        <v>1</v>
      </c>
      <c r="L9" s="5">
        <v>8</v>
      </c>
      <c r="M9" s="5">
        <v>4</v>
      </c>
      <c r="N9" s="5">
        <v>2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1</v>
      </c>
      <c r="C10" s="5">
        <f t="shared" ref="C10:C19" si="6">B10</f>
        <v>1</v>
      </c>
      <c r="D10" s="5">
        <v>0</v>
      </c>
      <c r="E10" s="5">
        <v>3</v>
      </c>
      <c r="F10" s="5">
        <v>3</v>
      </c>
      <c r="G10" s="6">
        <f t="shared" si="0"/>
        <v>3</v>
      </c>
      <c r="H10" s="5">
        <v>5</v>
      </c>
      <c r="I10" s="6">
        <f t="shared" si="1"/>
        <v>60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4" t="s">
        <v>25</v>
      </c>
      <c r="R10" s="5">
        <v>4</v>
      </c>
      <c r="S10" s="5">
        <f t="shared" si="2"/>
        <v>24</v>
      </c>
      <c r="T10" s="5">
        <v>34</v>
      </c>
      <c r="U10" s="5">
        <v>2</v>
      </c>
      <c r="V10" s="5" t="s">
        <v>94</v>
      </c>
      <c r="W10" s="6">
        <f t="shared" si="3"/>
        <v>17</v>
      </c>
      <c r="X10" s="6">
        <f t="shared" si="4"/>
        <v>8.5</v>
      </c>
      <c r="Y10" s="6">
        <f t="shared" si="5"/>
        <v>12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f t="shared" si="6"/>
        <v>1</v>
      </c>
      <c r="D11" s="5">
        <v>0</v>
      </c>
      <c r="E11" s="5">
        <v>14</v>
      </c>
      <c r="F11" s="5">
        <v>14</v>
      </c>
      <c r="G11" s="6">
        <f t="shared" si="0"/>
        <v>14</v>
      </c>
      <c r="H11" s="5">
        <v>14</v>
      </c>
      <c r="I11" s="6">
        <f t="shared" si="1"/>
        <v>100</v>
      </c>
      <c r="J11" s="5">
        <v>0</v>
      </c>
      <c r="K11" s="5">
        <v>0</v>
      </c>
      <c r="L11" s="5">
        <v>1</v>
      </c>
      <c r="M11" s="5">
        <v>1</v>
      </c>
      <c r="N11" s="5">
        <v>0</v>
      </c>
      <c r="O11" s="5">
        <v>0</v>
      </c>
      <c r="P11" s="5">
        <v>0</v>
      </c>
      <c r="Q11" s="4" t="s">
        <v>26</v>
      </c>
      <c r="R11" s="5">
        <v>8</v>
      </c>
      <c r="S11" s="5">
        <f t="shared" si="2"/>
        <v>48</v>
      </c>
      <c r="T11" s="5">
        <v>56</v>
      </c>
      <c r="U11" s="5">
        <v>4</v>
      </c>
      <c r="V11" s="5" t="s">
        <v>66</v>
      </c>
      <c r="W11" s="6">
        <f t="shared" si="3"/>
        <v>14</v>
      </c>
      <c r="X11" s="6">
        <f t="shared" si="4"/>
        <v>7</v>
      </c>
      <c r="Y11" s="6">
        <f t="shared" si="5"/>
        <v>12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12</v>
      </c>
      <c r="S12" s="5">
        <f t="shared" si="2"/>
        <v>72</v>
      </c>
      <c r="T12" s="5">
        <f>58+28</f>
        <v>86</v>
      </c>
      <c r="U12" s="5">
        <v>3</v>
      </c>
      <c r="V12" s="5" t="s">
        <v>92</v>
      </c>
      <c r="W12" s="6">
        <f t="shared" si="3"/>
        <v>28.666666666666668</v>
      </c>
      <c r="X12" s="6">
        <f t="shared" si="4"/>
        <v>7.166666666666667</v>
      </c>
      <c r="Y12" s="6">
        <f t="shared" si="5"/>
        <v>24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12</v>
      </c>
      <c r="S13" s="5">
        <f t="shared" si="2"/>
        <v>72</v>
      </c>
      <c r="T13" s="5">
        <f>64+26</f>
        <v>90</v>
      </c>
      <c r="U13" s="5">
        <v>4</v>
      </c>
      <c r="V13" s="5" t="s">
        <v>90</v>
      </c>
      <c r="W13" s="6">
        <f t="shared" si="3"/>
        <v>22.5</v>
      </c>
      <c r="X13" s="6">
        <f t="shared" si="4"/>
        <v>7.5</v>
      </c>
      <c r="Y13" s="6">
        <f t="shared" si="5"/>
        <v>18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2</v>
      </c>
      <c r="O16" s="5">
        <v>0</v>
      </c>
      <c r="P16" s="5">
        <v>0</v>
      </c>
      <c r="Q16" s="4" t="s">
        <v>31</v>
      </c>
      <c r="R16" s="5">
        <v>1</v>
      </c>
      <c r="S16" s="5">
        <f t="shared" si="2"/>
        <v>6</v>
      </c>
      <c r="T16" s="5">
        <v>16</v>
      </c>
      <c r="U16" s="5">
        <v>0</v>
      </c>
      <c r="V16" s="5">
        <v>0</v>
      </c>
      <c r="W16" s="6">
        <v>0</v>
      </c>
      <c r="X16" s="6">
        <f t="shared" si="4"/>
        <v>16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1</v>
      </c>
      <c r="C19" s="5">
        <f t="shared" si="6"/>
        <v>1</v>
      </c>
      <c r="D19" s="5">
        <v>0</v>
      </c>
      <c r="E19" s="5">
        <v>0</v>
      </c>
      <c r="F19" s="5">
        <v>0</v>
      </c>
      <c r="G19" s="6">
        <f t="shared" si="0"/>
        <v>0</v>
      </c>
      <c r="H19" s="5">
        <v>5</v>
      </c>
      <c r="I19" s="6">
        <f t="shared" si="1"/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4" t="s">
        <v>35</v>
      </c>
      <c r="R20" s="5">
        <v>3</v>
      </c>
      <c r="S20" s="5">
        <f t="shared" si="2"/>
        <v>18</v>
      </c>
      <c r="T20" s="5">
        <v>33</v>
      </c>
      <c r="U20" s="5">
        <v>0</v>
      </c>
      <c r="V20" s="5">
        <v>0</v>
      </c>
      <c r="W20" s="6">
        <v>0</v>
      </c>
      <c r="X20" s="6">
        <f t="shared" si="4"/>
        <v>11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53</v>
      </c>
      <c r="F22" s="5">
        <v>53</v>
      </c>
      <c r="G22" s="6">
        <f t="shared" si="0"/>
        <v>53</v>
      </c>
      <c r="H22" s="5">
        <v>43</v>
      </c>
      <c r="I22" s="6">
        <f t="shared" si="1"/>
        <v>123.25581395348837</v>
      </c>
      <c r="J22" s="5">
        <v>0</v>
      </c>
      <c r="K22" s="5">
        <v>1</v>
      </c>
      <c r="L22" s="5">
        <v>4</v>
      </c>
      <c r="M22" s="5">
        <v>2</v>
      </c>
      <c r="N22" s="5">
        <v>1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2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7"/>
  <sheetViews>
    <sheetView topLeftCell="A3" workbookViewId="0">
      <selection activeCell="G2" sqref="G2 I2 X2 W2:W3 Y2:Y3 G4 I4 W4:Y14 G6:G14 I6:I14 W16:Y23 W25:Y27 G16:G27 I16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0</v>
      </c>
      <c r="H2" s="5">
        <v>0</v>
      </c>
      <c r="I2" s="6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4</v>
      </c>
      <c r="C3" s="5">
        <v>4</v>
      </c>
      <c r="D3" s="5">
        <v>0</v>
      </c>
      <c r="E3" s="5">
        <v>75</v>
      </c>
      <c r="F3" s="5">
        <v>32</v>
      </c>
      <c r="G3" s="6">
        <f t="shared" ref="G3:G15" si="0">E3/B3</f>
        <v>18.75</v>
      </c>
      <c r="H3" s="5">
        <v>70</v>
      </c>
      <c r="I3" s="6">
        <f t="shared" ref="I3:I15" si="1">E3/H3*100</f>
        <v>107.14285714285714</v>
      </c>
      <c r="J3" s="5">
        <v>0</v>
      </c>
      <c r="K3" s="5">
        <v>0</v>
      </c>
      <c r="L3" s="5">
        <v>9</v>
      </c>
      <c r="M3" s="5">
        <v>1</v>
      </c>
      <c r="N3" s="5">
        <v>0</v>
      </c>
      <c r="O3" s="5">
        <v>0</v>
      </c>
      <c r="P3" s="5">
        <v>0</v>
      </c>
      <c r="Q3" s="4" t="s">
        <v>18</v>
      </c>
      <c r="R3" s="5">
        <v>6</v>
      </c>
      <c r="S3" s="5">
        <f t="shared" ref="S3:S27" si="2">R3*6</f>
        <v>36</v>
      </c>
      <c r="T3" s="5">
        <v>39</v>
      </c>
      <c r="U3" s="5">
        <v>0</v>
      </c>
      <c r="V3" s="5">
        <v>0</v>
      </c>
      <c r="W3" s="6">
        <v>0</v>
      </c>
      <c r="X3" s="6">
        <f t="shared" ref="X3:X24" si="3">T3/R3</f>
        <v>6.5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2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4</v>
      </c>
      <c r="C5" s="5">
        <v>4</v>
      </c>
      <c r="D5" s="5">
        <v>0</v>
      </c>
      <c r="E5" s="5">
        <v>115</v>
      </c>
      <c r="F5" s="5">
        <v>60</v>
      </c>
      <c r="G5" s="6">
        <f t="shared" si="0"/>
        <v>28.75</v>
      </c>
      <c r="H5" s="5">
        <v>99</v>
      </c>
      <c r="I5" s="6">
        <f t="shared" si="1"/>
        <v>116.16161616161615</v>
      </c>
      <c r="J5" s="5">
        <v>0</v>
      </c>
      <c r="K5" s="5">
        <v>2</v>
      </c>
      <c r="L5" s="5">
        <v>14</v>
      </c>
      <c r="M5" s="5">
        <v>2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6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4" t="s">
        <v>23</v>
      </c>
      <c r="R8" s="5">
        <v>0</v>
      </c>
      <c r="S8" s="5">
        <f t="shared" si="2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2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0</v>
      </c>
      <c r="S11" s="5">
        <f t="shared" si="2"/>
        <v>0</v>
      </c>
      <c r="T11" s="5">
        <v>0</v>
      </c>
      <c r="U11" s="5">
        <v>0</v>
      </c>
      <c r="V11" s="5">
        <v>0</v>
      </c>
      <c r="W11" s="6">
        <v>0</v>
      </c>
      <c r="X11" s="6">
        <v>0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0</v>
      </c>
      <c r="S12" s="5">
        <f t="shared" si="2"/>
        <v>0</v>
      </c>
      <c r="T12" s="5">
        <v>0</v>
      </c>
      <c r="U12" s="5">
        <v>0</v>
      </c>
      <c r="V12" s="5">
        <v>0</v>
      </c>
      <c r="W12" s="6">
        <v>0</v>
      </c>
      <c r="X12" s="6">
        <v>0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2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1</v>
      </c>
      <c r="C15" s="5">
        <f t="shared" ref="C15" si="4">B15</f>
        <v>1</v>
      </c>
      <c r="D15" s="5">
        <v>0</v>
      </c>
      <c r="E15" s="5">
        <v>5</v>
      </c>
      <c r="F15" s="5">
        <v>5</v>
      </c>
      <c r="G15" s="6">
        <f t="shared" si="0"/>
        <v>5</v>
      </c>
      <c r="H15" s="5">
        <v>7</v>
      </c>
      <c r="I15" s="6">
        <f t="shared" si="1"/>
        <v>71.428571428571431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4" t="s">
        <v>30</v>
      </c>
      <c r="R15" s="5">
        <v>11</v>
      </c>
      <c r="S15" s="5">
        <f t="shared" si="2"/>
        <v>66</v>
      </c>
      <c r="T15" s="5">
        <v>72</v>
      </c>
      <c r="U15" s="5">
        <v>2</v>
      </c>
      <c r="V15" s="5" t="s">
        <v>102</v>
      </c>
      <c r="W15" s="6">
        <f t="shared" ref="W15:W24" si="5">T15/U15</f>
        <v>36</v>
      </c>
      <c r="X15" s="6">
        <f t="shared" si="3"/>
        <v>6.5454545454545459</v>
      </c>
      <c r="Y15" s="6">
        <f t="shared" ref="Y15:Y24" si="6">S15/U15</f>
        <v>33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2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4" t="s">
        <v>39</v>
      </c>
      <c r="R24" s="5">
        <v>4</v>
      </c>
      <c r="S24" s="5">
        <f t="shared" si="2"/>
        <v>24</v>
      </c>
      <c r="T24" s="5">
        <v>35</v>
      </c>
      <c r="U24" s="5">
        <v>2</v>
      </c>
      <c r="V24" s="5" t="s">
        <v>73</v>
      </c>
      <c r="W24" s="6">
        <f t="shared" si="5"/>
        <v>17.5</v>
      </c>
      <c r="X24" s="6">
        <f t="shared" si="3"/>
        <v>8.75</v>
      </c>
      <c r="Y24" s="6">
        <f t="shared" si="6"/>
        <v>12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28"/>
  <sheetViews>
    <sheetView topLeftCell="A2" workbookViewId="0">
      <selection activeCell="G4" sqref="G4:G8 I4:I8 G10:G27 I10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6">
        <v>0</v>
      </c>
      <c r="H2" s="5">
        <v>0</v>
      </c>
      <c r="I2" s="6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2</v>
      </c>
      <c r="C3" s="5">
        <v>2</v>
      </c>
      <c r="D3" s="5">
        <v>1</v>
      </c>
      <c r="E3" s="5">
        <v>43</v>
      </c>
      <c r="F3" s="5">
        <v>30</v>
      </c>
      <c r="G3" s="6">
        <f>E3/B3</f>
        <v>21.5</v>
      </c>
      <c r="H3" s="5">
        <v>29</v>
      </c>
      <c r="I3" s="6">
        <f>E3/H3*100</f>
        <v>148.27586206896552</v>
      </c>
      <c r="J3" s="5">
        <v>0</v>
      </c>
      <c r="K3" s="5">
        <v>0</v>
      </c>
      <c r="L3" s="5">
        <v>0</v>
      </c>
      <c r="M3" s="5">
        <v>4</v>
      </c>
      <c r="N3" s="5">
        <v>1</v>
      </c>
      <c r="O3" s="5">
        <v>0</v>
      </c>
      <c r="P3" s="5">
        <v>0</v>
      </c>
      <c r="Q3" s="4" t="s">
        <v>18</v>
      </c>
      <c r="R3" s="5">
        <v>1</v>
      </c>
      <c r="S3" s="5">
        <f t="shared" ref="S3:S27" si="0">R3*6</f>
        <v>6</v>
      </c>
      <c r="T3" s="5">
        <v>11</v>
      </c>
      <c r="U3" s="5">
        <v>0</v>
      </c>
      <c r="V3" s="5">
        <v>0</v>
      </c>
      <c r="W3" s="6">
        <v>0</v>
      </c>
      <c r="X3" s="6">
        <f t="shared" ref="X3" si="1">T3/R3</f>
        <v>11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6">
        <v>0</v>
      </c>
      <c r="H4" s="5">
        <v>0</v>
      </c>
      <c r="I4" s="6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0</v>
      </c>
      <c r="S4" s="5">
        <f t="shared" si="0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0</v>
      </c>
      <c r="H7" s="5">
        <v>0</v>
      </c>
      <c r="I7" s="6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6">
        <v>0</v>
      </c>
      <c r="H8" s="5">
        <v>0</v>
      </c>
      <c r="I8" s="6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4" t="s">
        <v>23</v>
      </c>
      <c r="R8" s="5">
        <v>0</v>
      </c>
      <c r="S8" s="5">
        <f t="shared" si="0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f t="shared" ref="C9" si="2">B9</f>
        <v>1</v>
      </c>
      <c r="D9" s="5">
        <v>0</v>
      </c>
      <c r="E9" s="5">
        <v>8</v>
      </c>
      <c r="F9" s="5">
        <v>8</v>
      </c>
      <c r="G9" s="6">
        <f t="shared" ref="G9" si="3">E9/B9</f>
        <v>8</v>
      </c>
      <c r="H9" s="5">
        <v>13</v>
      </c>
      <c r="I9" s="6">
        <f t="shared" ref="I9" si="4">E9/H9*100</f>
        <v>61.53846153846154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6">
        <v>0</v>
      </c>
      <c r="H10" s="5">
        <v>0</v>
      </c>
      <c r="I10" s="6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0</v>
      </c>
      <c r="S10" s="5">
        <f t="shared" si="0"/>
        <v>0</v>
      </c>
      <c r="T10" s="5">
        <v>0</v>
      </c>
      <c r="U10" s="5">
        <v>0</v>
      </c>
      <c r="V10" s="5">
        <v>0</v>
      </c>
      <c r="W10" s="6">
        <v>0</v>
      </c>
      <c r="X10" s="6">
        <v>0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0</v>
      </c>
      <c r="S11" s="5">
        <f t="shared" si="0"/>
        <v>0</v>
      </c>
      <c r="T11" s="5">
        <v>0</v>
      </c>
      <c r="U11" s="5">
        <v>0</v>
      </c>
      <c r="V11" s="5">
        <v>0</v>
      </c>
      <c r="W11" s="6">
        <v>0</v>
      </c>
      <c r="X11" s="6">
        <v>0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0</v>
      </c>
      <c r="S12" s="5">
        <f t="shared" si="0"/>
        <v>0</v>
      </c>
      <c r="T12" s="5">
        <v>0</v>
      </c>
      <c r="U12" s="5">
        <v>0</v>
      </c>
      <c r="V12" s="5">
        <v>0</v>
      </c>
      <c r="W12" s="6">
        <v>0</v>
      </c>
      <c r="X12" s="6">
        <v>0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0</v>
      </c>
      <c r="S13" s="5">
        <f t="shared" si="0"/>
        <v>0</v>
      </c>
      <c r="T13" s="5">
        <v>0</v>
      </c>
      <c r="U13" s="5">
        <v>0</v>
      </c>
      <c r="V13" s="5">
        <v>0</v>
      </c>
      <c r="W13" s="6">
        <v>0</v>
      </c>
      <c r="X13" s="6">
        <v>0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0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0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0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  <row r="28" spans="1:27" x14ac:dyDescent="0.25">
      <c r="W2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"/>
  <sheetViews>
    <sheetView topLeftCell="I3" workbookViewId="0">
      <selection activeCell="F25" sqref="F25"/>
    </sheetView>
  </sheetViews>
  <sheetFormatPr defaultRowHeight="15" x14ac:dyDescent="0.25"/>
  <cols>
    <col min="1" max="1" width="20.5703125" customWidth="1"/>
    <col min="9" max="9" width="9.140625" style="14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11</v>
      </c>
      <c r="C2" s="5">
        <v>11</v>
      </c>
      <c r="D2" s="5">
        <v>0</v>
      </c>
      <c r="E2" s="5">
        <f>186+48</f>
        <v>234</v>
      </c>
      <c r="F2" s="5">
        <v>57</v>
      </c>
      <c r="G2" s="6">
        <f>E2/B2</f>
        <v>21.272727272727273</v>
      </c>
      <c r="H2" s="12">
        <f>149+34</f>
        <v>183</v>
      </c>
      <c r="I2" s="6">
        <f>E2/H2*100</f>
        <v>127.86885245901641</v>
      </c>
      <c r="J2" s="5">
        <v>0</v>
      </c>
      <c r="K2" s="5">
        <v>1</v>
      </c>
      <c r="L2" s="5">
        <v>23</v>
      </c>
      <c r="M2" s="5">
        <v>9</v>
      </c>
      <c r="N2" s="5">
        <v>8</v>
      </c>
      <c r="O2" s="5">
        <v>0</v>
      </c>
      <c r="P2" s="5">
        <v>3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14</v>
      </c>
      <c r="C3" s="5">
        <v>14</v>
      </c>
      <c r="D3" s="5">
        <v>1</v>
      </c>
      <c r="E3" s="5">
        <f>318+28</f>
        <v>346</v>
      </c>
      <c r="F3" s="5">
        <v>83</v>
      </c>
      <c r="G3" s="6">
        <f t="shared" ref="G3:G20" si="0">E3/B3</f>
        <v>24.714285714285715</v>
      </c>
      <c r="H3" s="5">
        <f>204+16</f>
        <v>220</v>
      </c>
      <c r="I3" s="6">
        <f t="shared" ref="I3:I20" si="1">E3/H3*100</f>
        <v>157.27272727272728</v>
      </c>
      <c r="J3" s="5">
        <v>0</v>
      </c>
      <c r="K3" s="5">
        <v>2</v>
      </c>
      <c r="L3" s="5">
        <v>26</v>
      </c>
      <c r="M3" s="5">
        <v>27</v>
      </c>
      <c r="N3" s="5">
        <v>0</v>
      </c>
      <c r="O3" s="5">
        <v>0</v>
      </c>
      <c r="P3" s="5">
        <v>0</v>
      </c>
      <c r="Q3" s="4" t="s">
        <v>18</v>
      </c>
      <c r="R3" s="5">
        <v>17</v>
      </c>
      <c r="S3" s="5">
        <f t="shared" ref="S3:S27" si="2">R3*6</f>
        <v>102</v>
      </c>
      <c r="T3" s="5">
        <f>154-13</f>
        <v>141</v>
      </c>
      <c r="U3" s="5">
        <v>5</v>
      </c>
      <c r="V3" s="5" t="s">
        <v>59</v>
      </c>
      <c r="W3" s="6">
        <f t="shared" ref="W3:W24" si="3">T3/U3</f>
        <v>28.2</v>
      </c>
      <c r="X3" s="6">
        <f t="shared" ref="X3:X24" si="4">T3/R3</f>
        <v>8.2941176470588243</v>
      </c>
      <c r="Y3" s="6">
        <f t="shared" ref="Y3:Y24" si="5">S3/U3</f>
        <v>20.399999999999999</v>
      </c>
      <c r="Z3" s="5">
        <v>1</v>
      </c>
      <c r="AA3" s="5">
        <v>0</v>
      </c>
    </row>
    <row r="4" spans="1:27" x14ac:dyDescent="0.25">
      <c r="A4" s="4" t="s">
        <v>19</v>
      </c>
      <c r="B4" s="5">
        <v>4</v>
      </c>
      <c r="C4" s="5">
        <v>4</v>
      </c>
      <c r="D4" s="5">
        <v>3</v>
      </c>
      <c r="E4" s="5">
        <f>25+93</f>
        <v>118</v>
      </c>
      <c r="F4" s="5">
        <v>59</v>
      </c>
      <c r="G4" s="6">
        <f t="shared" si="0"/>
        <v>29.5</v>
      </c>
      <c r="H4" s="5">
        <v>66</v>
      </c>
      <c r="I4" s="6">
        <f t="shared" si="1"/>
        <v>178.78787878787878</v>
      </c>
      <c r="J4" s="5">
        <v>0</v>
      </c>
      <c r="K4" s="5">
        <v>1</v>
      </c>
      <c r="L4" s="5">
        <v>7</v>
      </c>
      <c r="M4" s="5">
        <v>7</v>
      </c>
      <c r="N4" s="5">
        <v>4</v>
      </c>
      <c r="O4" s="5">
        <v>0</v>
      </c>
      <c r="P4" s="5">
        <v>1</v>
      </c>
      <c r="Q4" s="4" t="s">
        <v>19</v>
      </c>
      <c r="R4" s="5">
        <v>12</v>
      </c>
      <c r="S4" s="5">
        <f t="shared" si="2"/>
        <v>72</v>
      </c>
      <c r="T4" s="5">
        <f>52+68</f>
        <v>120</v>
      </c>
      <c r="U4" s="5">
        <v>4</v>
      </c>
      <c r="V4" s="5" t="s">
        <v>69</v>
      </c>
      <c r="W4" s="6">
        <f t="shared" si="3"/>
        <v>30</v>
      </c>
      <c r="X4" s="6">
        <f t="shared" si="4"/>
        <v>10</v>
      </c>
      <c r="Y4" s="6">
        <f t="shared" si="5"/>
        <v>18</v>
      </c>
      <c r="Z4" s="5">
        <v>0</v>
      </c>
      <c r="AA4" s="5">
        <v>0</v>
      </c>
    </row>
    <row r="5" spans="1:27" x14ac:dyDescent="0.25">
      <c r="A5" s="4" t="s">
        <v>20</v>
      </c>
      <c r="B5" s="5">
        <v>10</v>
      </c>
      <c r="C5" s="5">
        <v>10</v>
      </c>
      <c r="D5" s="5">
        <v>0</v>
      </c>
      <c r="E5" s="5">
        <f>183+206</f>
        <v>389</v>
      </c>
      <c r="F5" s="5">
        <v>108</v>
      </c>
      <c r="G5" s="6">
        <f t="shared" si="0"/>
        <v>38.9</v>
      </c>
      <c r="H5" s="5">
        <f>96+166</f>
        <v>262</v>
      </c>
      <c r="I5" s="6">
        <f t="shared" si="1"/>
        <v>148.47328244274809</v>
      </c>
      <c r="J5" s="5">
        <v>1</v>
      </c>
      <c r="K5" s="5">
        <v>2</v>
      </c>
      <c r="L5" s="5">
        <f>25+19</f>
        <v>44</v>
      </c>
      <c r="M5" s="5">
        <v>14</v>
      </c>
      <c r="N5" s="5">
        <v>5</v>
      </c>
      <c r="O5" s="5">
        <v>3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2</v>
      </c>
      <c r="C7" s="5">
        <v>2</v>
      </c>
      <c r="D7" s="5">
        <v>0</v>
      </c>
      <c r="E7" s="5">
        <v>16</v>
      </c>
      <c r="F7" s="5">
        <v>11</v>
      </c>
      <c r="G7" s="6">
        <f t="shared" si="0"/>
        <v>8</v>
      </c>
      <c r="H7" s="5">
        <v>17</v>
      </c>
      <c r="I7" s="6">
        <f t="shared" si="1"/>
        <v>94.117647058823522</v>
      </c>
      <c r="J7" s="5">
        <v>0</v>
      </c>
      <c r="K7" s="5">
        <v>0</v>
      </c>
      <c r="L7" s="5">
        <v>4</v>
      </c>
      <c r="M7" s="5">
        <v>0</v>
      </c>
      <c r="N7" s="5">
        <v>1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10</v>
      </c>
      <c r="C8" s="5">
        <v>10</v>
      </c>
      <c r="D8" s="5">
        <v>4</v>
      </c>
      <c r="E8" s="5">
        <f>212+21</f>
        <v>233</v>
      </c>
      <c r="F8" s="5">
        <v>70</v>
      </c>
      <c r="G8" s="6">
        <f t="shared" si="0"/>
        <v>23.3</v>
      </c>
      <c r="H8" s="5">
        <f>135+19</f>
        <v>154</v>
      </c>
      <c r="I8" s="6">
        <f t="shared" si="1"/>
        <v>151.29870129870127</v>
      </c>
      <c r="J8" s="5">
        <v>0</v>
      </c>
      <c r="K8" s="5">
        <v>2</v>
      </c>
      <c r="L8" s="5">
        <v>16</v>
      </c>
      <c r="M8" s="5">
        <v>14</v>
      </c>
      <c r="N8" s="5">
        <v>4</v>
      </c>
      <c r="O8" s="5">
        <v>0</v>
      </c>
      <c r="P8" s="5">
        <v>0</v>
      </c>
      <c r="Q8" s="4" t="s">
        <v>23</v>
      </c>
      <c r="R8" s="5">
        <v>17</v>
      </c>
      <c r="S8" s="5">
        <f t="shared" si="2"/>
        <v>102</v>
      </c>
      <c r="T8" s="5">
        <v>151</v>
      </c>
      <c r="U8" s="5">
        <v>7</v>
      </c>
      <c r="V8" s="5" t="s">
        <v>69</v>
      </c>
      <c r="W8" s="6">
        <f t="shared" si="3"/>
        <v>21.571428571428573</v>
      </c>
      <c r="X8" s="6">
        <f t="shared" si="4"/>
        <v>8.882352941176471</v>
      </c>
      <c r="Y8" s="6">
        <f t="shared" si="5"/>
        <v>14.571428571428571</v>
      </c>
      <c r="Z8" s="5">
        <v>0</v>
      </c>
      <c r="AA8" s="5">
        <v>0</v>
      </c>
    </row>
    <row r="9" spans="1:27" x14ac:dyDescent="0.25">
      <c r="A9" s="4" t="s">
        <v>24</v>
      </c>
      <c r="B9" s="5">
        <v>4</v>
      </c>
      <c r="C9" s="5">
        <v>4</v>
      </c>
      <c r="D9" s="5">
        <v>2</v>
      </c>
      <c r="E9" s="5">
        <v>46</v>
      </c>
      <c r="F9" s="5">
        <v>31</v>
      </c>
      <c r="G9" s="6">
        <f t="shared" si="0"/>
        <v>11.5</v>
      </c>
      <c r="H9" s="5">
        <v>38</v>
      </c>
      <c r="I9" s="6">
        <f t="shared" si="1"/>
        <v>121.05263157894737</v>
      </c>
      <c r="J9" s="5">
        <v>0</v>
      </c>
      <c r="K9" s="5">
        <v>0</v>
      </c>
      <c r="L9" s="5">
        <v>4</v>
      </c>
      <c r="M9" s="5">
        <v>1</v>
      </c>
      <c r="N9" s="5">
        <v>3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4</v>
      </c>
      <c r="C10" s="5">
        <v>4</v>
      </c>
      <c r="D10" s="5">
        <v>2</v>
      </c>
      <c r="E10" s="5">
        <f>82+25</f>
        <v>107</v>
      </c>
      <c r="F10" s="5">
        <v>45</v>
      </c>
      <c r="G10" s="6">
        <f t="shared" si="0"/>
        <v>26.75</v>
      </c>
      <c r="H10" s="5">
        <f>60+21</f>
        <v>81</v>
      </c>
      <c r="I10" s="6">
        <f t="shared" si="1"/>
        <v>132.09876543209879</v>
      </c>
      <c r="J10" s="5">
        <v>0</v>
      </c>
      <c r="K10" s="5">
        <v>0</v>
      </c>
      <c r="L10" s="5">
        <v>12</v>
      </c>
      <c r="M10" s="5">
        <v>2</v>
      </c>
      <c r="N10" s="5">
        <v>1</v>
      </c>
      <c r="O10" s="5">
        <v>0</v>
      </c>
      <c r="P10" s="5">
        <v>0</v>
      </c>
      <c r="Q10" s="4" t="s">
        <v>25</v>
      </c>
      <c r="R10" s="5">
        <v>19</v>
      </c>
      <c r="S10" s="5">
        <f t="shared" si="2"/>
        <v>114</v>
      </c>
      <c r="T10" s="5">
        <f>61+53</f>
        <v>114</v>
      </c>
      <c r="U10" s="5">
        <v>2</v>
      </c>
      <c r="V10" s="5" t="s">
        <v>74</v>
      </c>
      <c r="W10" s="6">
        <f t="shared" si="3"/>
        <v>57</v>
      </c>
      <c r="X10" s="6">
        <f t="shared" si="4"/>
        <v>6</v>
      </c>
      <c r="Y10" s="6">
        <f t="shared" si="5"/>
        <v>57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v>1</v>
      </c>
      <c r="D11" s="5">
        <v>0</v>
      </c>
      <c r="E11" s="5">
        <v>17</v>
      </c>
      <c r="F11" s="5">
        <v>17</v>
      </c>
      <c r="G11" s="6">
        <f t="shared" si="0"/>
        <v>17</v>
      </c>
      <c r="H11" s="5">
        <v>16</v>
      </c>
      <c r="I11" s="6">
        <f t="shared" si="1"/>
        <v>106.25</v>
      </c>
      <c r="J11" s="5">
        <v>0</v>
      </c>
      <c r="K11" s="5">
        <v>0</v>
      </c>
      <c r="L11" s="5">
        <v>1</v>
      </c>
      <c r="M11" s="5">
        <v>1</v>
      </c>
      <c r="N11" s="5">
        <v>2</v>
      </c>
      <c r="O11" s="5">
        <v>0</v>
      </c>
      <c r="P11" s="5">
        <v>0</v>
      </c>
      <c r="Q11" s="4" t="s">
        <v>26</v>
      </c>
      <c r="R11" s="5">
        <v>24</v>
      </c>
      <c r="S11" s="5">
        <f t="shared" si="2"/>
        <v>144</v>
      </c>
      <c r="T11" s="5">
        <f>168+51</f>
        <v>219</v>
      </c>
      <c r="U11" s="5">
        <v>4</v>
      </c>
      <c r="V11" s="5" t="s">
        <v>78</v>
      </c>
      <c r="W11" s="6">
        <f t="shared" si="3"/>
        <v>54.75</v>
      </c>
      <c r="X11" s="6">
        <f t="shared" si="4"/>
        <v>9.125</v>
      </c>
      <c r="Y11" s="6">
        <f t="shared" si="5"/>
        <v>36</v>
      </c>
      <c r="Z11" s="5">
        <v>0</v>
      </c>
      <c r="AA11" s="5">
        <v>0</v>
      </c>
    </row>
    <row r="12" spans="1:27" x14ac:dyDescent="0.25">
      <c r="A12" s="4" t="s">
        <v>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6">
        <f t="shared" si="0"/>
        <v>1</v>
      </c>
      <c r="H12" s="5">
        <v>1</v>
      </c>
      <c r="I12" s="6">
        <f t="shared" si="1"/>
        <v>100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4" t="s">
        <v>27</v>
      </c>
      <c r="R12" s="5">
        <f>19+8</f>
        <v>27</v>
      </c>
      <c r="S12" s="5">
        <f t="shared" si="2"/>
        <v>162</v>
      </c>
      <c r="T12" s="5">
        <f>151+45</f>
        <v>196</v>
      </c>
      <c r="U12" s="5">
        <v>11</v>
      </c>
      <c r="V12" s="5" t="s">
        <v>89</v>
      </c>
      <c r="W12" s="6">
        <f t="shared" si="3"/>
        <v>17.818181818181817</v>
      </c>
      <c r="X12" s="6">
        <f t="shared" si="4"/>
        <v>7.2592592592592595</v>
      </c>
      <c r="Y12" s="6">
        <f t="shared" si="5"/>
        <v>14.727272727272727</v>
      </c>
      <c r="Z12" s="5">
        <v>0</v>
      </c>
      <c r="AA12" s="5">
        <v>0</v>
      </c>
    </row>
    <row r="13" spans="1:27" x14ac:dyDescent="0.25">
      <c r="A13" s="4" t="s">
        <v>28</v>
      </c>
      <c r="B13" s="5">
        <v>2</v>
      </c>
      <c r="C13" s="5">
        <v>2</v>
      </c>
      <c r="D13" s="5">
        <v>0</v>
      </c>
      <c r="E13" s="5">
        <v>1</v>
      </c>
      <c r="F13" s="5">
        <v>1</v>
      </c>
      <c r="G13" s="6">
        <f t="shared" si="0"/>
        <v>0.5</v>
      </c>
      <c r="H13" s="5">
        <v>4</v>
      </c>
      <c r="I13" s="6">
        <f t="shared" si="1"/>
        <v>25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18</v>
      </c>
      <c r="S13" s="5">
        <f t="shared" si="2"/>
        <v>108</v>
      </c>
      <c r="T13" s="5">
        <f>105+63</f>
        <v>168</v>
      </c>
      <c r="U13" s="5">
        <v>5</v>
      </c>
      <c r="V13" s="5" t="s">
        <v>64</v>
      </c>
      <c r="W13" s="6">
        <f t="shared" si="3"/>
        <v>33.6</v>
      </c>
      <c r="X13" s="6">
        <f t="shared" si="4"/>
        <v>9.3333333333333339</v>
      </c>
      <c r="Y13" s="6">
        <f t="shared" si="5"/>
        <v>21.6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1</v>
      </c>
      <c r="S15" s="5">
        <f t="shared" si="2"/>
        <v>6</v>
      </c>
      <c r="T15" s="5">
        <v>2</v>
      </c>
      <c r="U15" s="5">
        <v>0</v>
      </c>
      <c r="V15" s="5">
        <v>0</v>
      </c>
      <c r="W15" s="6">
        <v>0</v>
      </c>
      <c r="X15" s="6">
        <f t="shared" si="4"/>
        <v>2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2</v>
      </c>
      <c r="C16" s="5">
        <v>2</v>
      </c>
      <c r="D16" s="5">
        <v>2</v>
      </c>
      <c r="E16" s="5">
        <f>39+12</f>
        <v>51</v>
      </c>
      <c r="F16" s="5">
        <v>39</v>
      </c>
      <c r="G16" s="6">
        <f t="shared" si="0"/>
        <v>25.5</v>
      </c>
      <c r="H16" s="5">
        <v>21</v>
      </c>
      <c r="I16" s="6">
        <f t="shared" si="1"/>
        <v>242.85714285714283</v>
      </c>
      <c r="J16" s="5">
        <v>0</v>
      </c>
      <c r="K16" s="5">
        <v>0</v>
      </c>
      <c r="L16" s="5">
        <v>4</v>
      </c>
      <c r="M16" s="5">
        <v>5</v>
      </c>
      <c r="N16" s="5">
        <v>1</v>
      </c>
      <c r="O16" s="5">
        <v>0</v>
      </c>
      <c r="P16" s="5">
        <v>0</v>
      </c>
      <c r="Q16" s="4" t="s">
        <v>31</v>
      </c>
      <c r="R16" s="5">
        <v>4</v>
      </c>
      <c r="S16" s="5">
        <f t="shared" si="2"/>
        <v>24</v>
      </c>
      <c r="T16" s="5">
        <v>36</v>
      </c>
      <c r="U16" s="5">
        <v>2</v>
      </c>
      <c r="V16" s="5" t="s">
        <v>103</v>
      </c>
      <c r="W16" s="6">
        <f t="shared" si="3"/>
        <v>18</v>
      </c>
      <c r="X16" s="6">
        <f t="shared" si="4"/>
        <v>9</v>
      </c>
      <c r="Y16" s="6">
        <f t="shared" si="5"/>
        <v>12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1</v>
      </c>
      <c r="C19" s="5">
        <v>1</v>
      </c>
      <c r="D19" s="5">
        <v>0</v>
      </c>
      <c r="E19" s="5">
        <v>18</v>
      </c>
      <c r="F19" s="5">
        <v>18</v>
      </c>
      <c r="G19" s="6">
        <f t="shared" si="0"/>
        <v>18</v>
      </c>
      <c r="H19" s="5">
        <v>17</v>
      </c>
      <c r="I19" s="6">
        <f t="shared" si="1"/>
        <v>105.88235294117648</v>
      </c>
      <c r="J19" s="5">
        <v>0</v>
      </c>
      <c r="K19" s="5">
        <v>0</v>
      </c>
      <c r="L19" s="5">
        <v>3</v>
      </c>
      <c r="M19" s="5">
        <v>0</v>
      </c>
      <c r="N19" s="5">
        <v>1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12">
        <v>1</v>
      </c>
      <c r="C20" s="12">
        <v>1</v>
      </c>
      <c r="D20" s="12">
        <v>0</v>
      </c>
      <c r="E20" s="12">
        <v>6</v>
      </c>
      <c r="F20" s="12">
        <v>6</v>
      </c>
      <c r="G20" s="6">
        <f t="shared" si="0"/>
        <v>6</v>
      </c>
      <c r="H20" s="12">
        <v>5</v>
      </c>
      <c r="I20" s="6">
        <f t="shared" si="1"/>
        <v>120</v>
      </c>
      <c r="J20" s="12">
        <v>0</v>
      </c>
      <c r="K20" s="12">
        <v>0</v>
      </c>
      <c r="L20" s="12">
        <v>1</v>
      </c>
      <c r="M20" s="12">
        <v>0</v>
      </c>
      <c r="N20" s="5">
        <v>0</v>
      </c>
      <c r="O20" s="12">
        <v>0</v>
      </c>
      <c r="P20" s="5">
        <v>0</v>
      </c>
      <c r="Q20" s="4" t="s">
        <v>35</v>
      </c>
      <c r="R20" s="5">
        <v>6</v>
      </c>
      <c r="S20" s="5">
        <f t="shared" si="2"/>
        <v>36</v>
      </c>
      <c r="T20" s="5">
        <v>52</v>
      </c>
      <c r="U20" s="5">
        <v>2</v>
      </c>
      <c r="V20" s="5" t="s">
        <v>117</v>
      </c>
      <c r="W20" s="6">
        <f t="shared" si="3"/>
        <v>26</v>
      </c>
      <c r="X20" s="6">
        <f t="shared" si="4"/>
        <v>8.6666666666666661</v>
      </c>
      <c r="Y20" s="6">
        <f t="shared" si="5"/>
        <v>18</v>
      </c>
      <c r="Z20" s="5">
        <v>0</v>
      </c>
      <c r="AA20" s="5">
        <v>0</v>
      </c>
    </row>
    <row r="21" spans="1:27" x14ac:dyDescent="0.25">
      <c r="A21" s="4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6">
        <v>0</v>
      </c>
      <c r="H21" s="12">
        <v>0</v>
      </c>
      <c r="I21" s="6">
        <v>0</v>
      </c>
      <c r="J21" s="12">
        <v>0</v>
      </c>
      <c r="K21" s="12">
        <v>0</v>
      </c>
      <c r="L21" s="12">
        <v>0</v>
      </c>
      <c r="M21" s="12">
        <v>0</v>
      </c>
      <c r="N21" s="5">
        <v>0</v>
      </c>
      <c r="O21" s="12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6">
        <v>0</v>
      </c>
      <c r="H22" s="12">
        <v>0</v>
      </c>
      <c r="I22" s="6">
        <v>0</v>
      </c>
      <c r="J22" s="12">
        <v>0</v>
      </c>
      <c r="K22" s="12">
        <v>0</v>
      </c>
      <c r="L22" s="12">
        <v>0</v>
      </c>
      <c r="M22" s="12">
        <v>0</v>
      </c>
      <c r="N22" s="5">
        <v>0</v>
      </c>
      <c r="O22" s="12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6">
        <v>0</v>
      </c>
      <c r="H23" s="12">
        <v>0</v>
      </c>
      <c r="I23" s="6">
        <v>0</v>
      </c>
      <c r="J23" s="12">
        <v>0</v>
      </c>
      <c r="K23" s="12">
        <v>0</v>
      </c>
      <c r="L23" s="12">
        <v>0</v>
      </c>
      <c r="M23" s="12">
        <v>0</v>
      </c>
      <c r="N23" s="5">
        <v>0</v>
      </c>
      <c r="O23" s="12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6">
        <v>0</v>
      </c>
      <c r="H24" s="12">
        <v>0</v>
      </c>
      <c r="I24" s="6">
        <v>0</v>
      </c>
      <c r="J24" s="12">
        <v>0</v>
      </c>
      <c r="K24" s="12">
        <v>0</v>
      </c>
      <c r="L24" s="12">
        <v>0</v>
      </c>
      <c r="M24" s="12">
        <v>0</v>
      </c>
      <c r="N24" s="5">
        <v>0</v>
      </c>
      <c r="O24" s="12">
        <v>0</v>
      </c>
      <c r="P24" s="5">
        <v>0</v>
      </c>
      <c r="Q24" s="4" t="s">
        <v>39</v>
      </c>
      <c r="R24" s="12">
        <v>3</v>
      </c>
      <c r="S24" s="5">
        <f t="shared" si="2"/>
        <v>18</v>
      </c>
      <c r="T24" s="5">
        <v>43</v>
      </c>
      <c r="U24" s="5">
        <v>1</v>
      </c>
      <c r="V24" s="5" t="s">
        <v>108</v>
      </c>
      <c r="W24" s="6">
        <f t="shared" si="3"/>
        <v>43</v>
      </c>
      <c r="X24" s="6">
        <f t="shared" si="4"/>
        <v>14.333333333333334</v>
      </c>
      <c r="Y24" s="6">
        <f t="shared" si="5"/>
        <v>18</v>
      </c>
      <c r="Z24" s="5">
        <v>0</v>
      </c>
      <c r="AA24" s="5">
        <v>0</v>
      </c>
    </row>
    <row r="25" spans="1:27" x14ac:dyDescent="0.25">
      <c r="A25" s="4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6">
        <v>0</v>
      </c>
      <c r="H25" s="12">
        <v>0</v>
      </c>
      <c r="I25" s="6">
        <v>0</v>
      </c>
      <c r="J25" s="12">
        <v>0</v>
      </c>
      <c r="K25" s="12">
        <v>0</v>
      </c>
      <c r="L25" s="12">
        <v>0</v>
      </c>
      <c r="M25" s="12">
        <v>0</v>
      </c>
      <c r="N25" s="5">
        <v>0</v>
      </c>
      <c r="O25" s="12">
        <v>0</v>
      </c>
      <c r="P25" s="5">
        <v>0</v>
      </c>
      <c r="Q25" s="4" t="s">
        <v>40</v>
      </c>
      <c r="R25" s="12">
        <v>0</v>
      </c>
      <c r="S25" s="5">
        <f t="shared" si="2"/>
        <v>0</v>
      </c>
      <c r="T25" s="12">
        <v>0</v>
      </c>
      <c r="U25" s="12">
        <v>0</v>
      </c>
      <c r="V25" s="12">
        <v>0</v>
      </c>
      <c r="W25" s="6">
        <v>0</v>
      </c>
      <c r="X25" s="6">
        <v>0</v>
      </c>
      <c r="Y25" s="6">
        <v>0</v>
      </c>
      <c r="Z25" s="12">
        <v>0</v>
      </c>
      <c r="AA25" s="12">
        <v>0</v>
      </c>
    </row>
    <row r="26" spans="1:27" x14ac:dyDescent="0.25">
      <c r="A26" s="4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6">
        <v>0</v>
      </c>
      <c r="H26" s="12">
        <v>0</v>
      </c>
      <c r="I26" s="6">
        <v>0</v>
      </c>
      <c r="J26" s="12">
        <v>0</v>
      </c>
      <c r="K26" s="12">
        <v>0</v>
      </c>
      <c r="L26" s="12">
        <v>0</v>
      </c>
      <c r="M26" s="12">
        <v>0</v>
      </c>
      <c r="N26" s="5">
        <v>0</v>
      </c>
      <c r="O26" s="12">
        <v>0</v>
      </c>
      <c r="P26" s="5">
        <v>0</v>
      </c>
      <c r="Q26" s="4" t="s">
        <v>41</v>
      </c>
      <c r="R26" s="12">
        <v>0</v>
      </c>
      <c r="S26" s="5">
        <f t="shared" si="2"/>
        <v>0</v>
      </c>
      <c r="T26" s="12">
        <v>0</v>
      </c>
      <c r="U26" s="12">
        <v>0</v>
      </c>
      <c r="V26" s="12">
        <v>0</v>
      </c>
      <c r="W26" s="6">
        <v>0</v>
      </c>
      <c r="X26" s="6">
        <v>0</v>
      </c>
      <c r="Y26" s="6">
        <v>0</v>
      </c>
      <c r="Z26" s="12">
        <v>0</v>
      </c>
      <c r="AA26" s="12">
        <v>0</v>
      </c>
    </row>
    <row r="27" spans="1:27" x14ac:dyDescent="0.25">
      <c r="A27" s="4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6">
        <v>0</v>
      </c>
      <c r="H27" s="12">
        <v>0</v>
      </c>
      <c r="I27" s="6">
        <v>0</v>
      </c>
      <c r="J27" s="12">
        <v>0</v>
      </c>
      <c r="K27" s="12">
        <v>0</v>
      </c>
      <c r="L27" s="12">
        <v>0</v>
      </c>
      <c r="M27" s="12">
        <v>0</v>
      </c>
      <c r="N27" s="5">
        <v>0</v>
      </c>
      <c r="O27" s="12">
        <v>0</v>
      </c>
      <c r="P27" s="5">
        <v>0</v>
      </c>
      <c r="Q27" s="4" t="s">
        <v>42</v>
      </c>
      <c r="R27" s="12">
        <v>0</v>
      </c>
      <c r="S27" s="5">
        <f t="shared" si="2"/>
        <v>0</v>
      </c>
      <c r="T27" s="12">
        <v>0</v>
      </c>
      <c r="U27" s="12">
        <v>0</v>
      </c>
      <c r="V27" s="12">
        <v>0</v>
      </c>
      <c r="W27" s="6">
        <v>0</v>
      </c>
      <c r="X27" s="6">
        <v>0</v>
      </c>
      <c r="Y27" s="6">
        <v>0</v>
      </c>
      <c r="Z27" s="12">
        <v>0</v>
      </c>
      <c r="AA27" s="12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7"/>
  <sheetViews>
    <sheetView workbookViewId="0">
      <selection activeCell="G3" sqref="G3 I3 X2:X3 G5:G6 I5:I6 X5:X9 W2:W10 Y2:Y10 W11:Y11 W13 Y13 W14:Y27 G11:G27 I11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</v>
      </c>
      <c r="C2" s="5">
        <v>1</v>
      </c>
      <c r="D2" s="5">
        <v>0</v>
      </c>
      <c r="E2" s="5">
        <v>30</v>
      </c>
      <c r="F2" s="5">
        <v>30</v>
      </c>
      <c r="G2" s="6">
        <f>E2/B2</f>
        <v>30</v>
      </c>
      <c r="H2" s="5">
        <v>17</v>
      </c>
      <c r="I2" s="6">
        <f>E2/H2*100</f>
        <v>176.47058823529412</v>
      </c>
      <c r="J2" s="5">
        <v>0</v>
      </c>
      <c r="K2" s="5">
        <v>0</v>
      </c>
      <c r="L2" s="5">
        <v>4</v>
      </c>
      <c r="M2" s="5">
        <v>2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6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0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1</v>
      </c>
      <c r="C4" s="5">
        <v>1</v>
      </c>
      <c r="D4" s="5">
        <v>0</v>
      </c>
      <c r="E4" s="5">
        <v>7</v>
      </c>
      <c r="F4" s="5">
        <v>7</v>
      </c>
      <c r="G4" s="6">
        <f t="shared" ref="G4:G10" si="1">E4/B4</f>
        <v>7</v>
      </c>
      <c r="H4" s="5">
        <v>8</v>
      </c>
      <c r="I4" s="6">
        <f t="shared" ref="I4:I10" si="2">E4/H4*100</f>
        <v>87.5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4" t="s">
        <v>19</v>
      </c>
      <c r="R4" s="5">
        <v>1</v>
      </c>
      <c r="S4" s="5">
        <f t="shared" si="0"/>
        <v>6</v>
      </c>
      <c r="T4" s="5">
        <v>11</v>
      </c>
      <c r="U4" s="5">
        <v>0</v>
      </c>
      <c r="V4" s="5">
        <v>0</v>
      </c>
      <c r="W4" s="6">
        <v>0</v>
      </c>
      <c r="X4" s="6">
        <f t="shared" ref="X4:X13" si="3">T4/R4</f>
        <v>11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6">
        <v>0</v>
      </c>
      <c r="H5" s="5">
        <v>0</v>
      </c>
      <c r="I5" s="6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2</v>
      </c>
      <c r="C7" s="5">
        <v>2</v>
      </c>
      <c r="D7" s="5">
        <v>0</v>
      </c>
      <c r="E7" s="5">
        <v>95</v>
      </c>
      <c r="F7" s="5">
        <v>61</v>
      </c>
      <c r="G7" s="6">
        <f t="shared" si="1"/>
        <v>47.5</v>
      </c>
      <c r="H7" s="5">
        <v>65</v>
      </c>
      <c r="I7" s="6">
        <f t="shared" si="2"/>
        <v>146.15384615384613</v>
      </c>
      <c r="J7" s="5">
        <v>0</v>
      </c>
      <c r="K7" s="5">
        <v>1</v>
      </c>
      <c r="L7" s="5">
        <v>10</v>
      </c>
      <c r="M7" s="5">
        <v>5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1</v>
      </c>
      <c r="C8" s="5">
        <v>1</v>
      </c>
      <c r="D8" s="5">
        <v>0</v>
      </c>
      <c r="E8" s="5">
        <v>9</v>
      </c>
      <c r="F8" s="5">
        <v>9</v>
      </c>
      <c r="G8" s="6">
        <f t="shared" si="1"/>
        <v>9</v>
      </c>
      <c r="H8" s="5">
        <v>11</v>
      </c>
      <c r="I8" s="6">
        <f t="shared" si="2"/>
        <v>81.818181818181827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4" t="s">
        <v>23</v>
      </c>
      <c r="R8" s="5">
        <v>0</v>
      </c>
      <c r="S8" s="5">
        <f t="shared" si="0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f>B9</f>
        <v>1</v>
      </c>
      <c r="D9" s="5">
        <v>0</v>
      </c>
      <c r="E9" s="5">
        <v>17</v>
      </c>
      <c r="F9" s="5">
        <v>17</v>
      </c>
      <c r="G9" s="6">
        <f t="shared" si="1"/>
        <v>17</v>
      </c>
      <c r="H9" s="5">
        <v>14</v>
      </c>
      <c r="I9" s="6">
        <f t="shared" si="2"/>
        <v>121.42857142857142</v>
      </c>
      <c r="J9" s="5">
        <v>0</v>
      </c>
      <c r="K9" s="5">
        <v>0</v>
      </c>
      <c r="L9" s="5">
        <v>1</v>
      </c>
      <c r="M9" s="5">
        <v>1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1</v>
      </c>
      <c r="C10" s="5">
        <f t="shared" ref="C10" si="4">B10</f>
        <v>1</v>
      </c>
      <c r="D10" s="5">
        <v>0</v>
      </c>
      <c r="E10" s="5">
        <v>4</v>
      </c>
      <c r="F10" s="5">
        <v>4</v>
      </c>
      <c r="G10" s="6">
        <f t="shared" si="1"/>
        <v>4</v>
      </c>
      <c r="H10" s="5">
        <v>3</v>
      </c>
      <c r="I10" s="6">
        <f t="shared" si="2"/>
        <v>133.33333333333331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4" t="s">
        <v>25</v>
      </c>
      <c r="R10" s="5">
        <v>2</v>
      </c>
      <c r="S10" s="5">
        <f t="shared" si="0"/>
        <v>12</v>
      </c>
      <c r="T10" s="5">
        <v>28</v>
      </c>
      <c r="U10" s="5">
        <v>0</v>
      </c>
      <c r="V10" s="5">
        <v>0</v>
      </c>
      <c r="W10" s="6">
        <v>0</v>
      </c>
      <c r="X10" s="6">
        <f t="shared" si="3"/>
        <v>14</v>
      </c>
      <c r="Y10" s="6">
        <v>0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0</v>
      </c>
      <c r="S11" s="5">
        <f t="shared" si="0"/>
        <v>0</v>
      </c>
      <c r="T11" s="5">
        <v>0</v>
      </c>
      <c r="U11" s="5">
        <v>0</v>
      </c>
      <c r="V11" s="5">
        <v>0</v>
      </c>
      <c r="W11" s="6">
        <v>0</v>
      </c>
      <c r="X11" s="6">
        <v>0</v>
      </c>
      <c r="Y11" s="6">
        <v>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4</v>
      </c>
      <c r="S12" s="5">
        <f t="shared" si="0"/>
        <v>24</v>
      </c>
      <c r="T12" s="5">
        <v>45</v>
      </c>
      <c r="U12" s="5">
        <v>1</v>
      </c>
      <c r="V12" s="5" t="s">
        <v>93</v>
      </c>
      <c r="W12" s="6">
        <f t="shared" ref="W12" si="5">T12/U12</f>
        <v>45</v>
      </c>
      <c r="X12" s="6">
        <f t="shared" si="3"/>
        <v>11.25</v>
      </c>
      <c r="Y12" s="6">
        <f t="shared" ref="Y12" si="6">S12/U12</f>
        <v>24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4</v>
      </c>
      <c r="S13" s="5">
        <f t="shared" si="0"/>
        <v>24</v>
      </c>
      <c r="T13" s="5">
        <v>38</v>
      </c>
      <c r="U13" s="5">
        <v>0</v>
      </c>
      <c r="V13" s="5">
        <v>0</v>
      </c>
      <c r="W13" s="6">
        <v>0</v>
      </c>
      <c r="X13" s="6">
        <f t="shared" si="3"/>
        <v>9.5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0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0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0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28"/>
  <sheetViews>
    <sheetView topLeftCell="B2" workbookViewId="0">
      <selection activeCell="W2" sqref="W2:Y9 G3 I3 G6 I6 G9 I9 W13 Y13 W15:Y23 W25:Y27 G15:G27 I15:I27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</v>
      </c>
      <c r="C2" s="5">
        <v>1</v>
      </c>
      <c r="D2" s="5">
        <v>0</v>
      </c>
      <c r="E2" s="5">
        <v>5</v>
      </c>
      <c r="F2" s="5">
        <v>5</v>
      </c>
      <c r="G2" s="6">
        <f>E2/B2</f>
        <v>5</v>
      </c>
      <c r="H2" s="5">
        <v>13</v>
      </c>
      <c r="I2" s="6">
        <f>E2/H2*100</f>
        <v>38.461538461538467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5">
        <v>0</v>
      </c>
      <c r="I3" s="6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4" t="s">
        <v>18</v>
      </c>
      <c r="R3" s="5">
        <v>0</v>
      </c>
      <c r="S3" s="5">
        <f t="shared" ref="S3:S27" si="0">R3*6</f>
        <v>0</v>
      </c>
      <c r="T3" s="5">
        <v>0</v>
      </c>
      <c r="U3" s="5">
        <v>0</v>
      </c>
      <c r="V3" s="5">
        <v>0</v>
      </c>
      <c r="W3" s="6">
        <v>0</v>
      </c>
      <c r="X3" s="6">
        <v>0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1</v>
      </c>
      <c r="C4" s="5">
        <v>1</v>
      </c>
      <c r="D4" s="5">
        <v>0</v>
      </c>
      <c r="E4" s="5">
        <v>4</v>
      </c>
      <c r="F4" s="5">
        <v>4</v>
      </c>
      <c r="G4" s="6">
        <f t="shared" ref="G4:G14" si="1">E4/B4</f>
        <v>4</v>
      </c>
      <c r="H4" s="5">
        <v>5</v>
      </c>
      <c r="I4" s="6">
        <f t="shared" ref="I4:I14" si="2">E4/H4*100</f>
        <v>80</v>
      </c>
      <c r="J4" s="5">
        <v>0</v>
      </c>
      <c r="K4" s="5">
        <v>0</v>
      </c>
      <c r="L4" s="5">
        <v>0</v>
      </c>
      <c r="M4" s="5">
        <v>0</v>
      </c>
      <c r="N4" s="5">
        <v>1</v>
      </c>
      <c r="O4" s="5">
        <v>0</v>
      </c>
      <c r="P4" s="5">
        <v>0</v>
      </c>
      <c r="Q4" s="4" t="s">
        <v>19</v>
      </c>
      <c r="R4" s="5">
        <v>0</v>
      </c>
      <c r="S4" s="5">
        <f t="shared" si="0"/>
        <v>0</v>
      </c>
      <c r="T4" s="5">
        <v>0</v>
      </c>
      <c r="U4" s="5">
        <v>0</v>
      </c>
      <c r="V4" s="5">
        <v>0</v>
      </c>
      <c r="W4" s="6">
        <v>0</v>
      </c>
      <c r="X4" s="6">
        <v>0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1</v>
      </c>
      <c r="C5" s="5">
        <v>1</v>
      </c>
      <c r="D5" s="5">
        <v>0</v>
      </c>
      <c r="E5" s="5">
        <v>46</v>
      </c>
      <c r="F5" s="5">
        <v>46</v>
      </c>
      <c r="G5" s="6">
        <f t="shared" si="1"/>
        <v>46</v>
      </c>
      <c r="H5" s="5">
        <v>45</v>
      </c>
      <c r="I5" s="6">
        <f t="shared" si="2"/>
        <v>102.22222222222221</v>
      </c>
      <c r="J5" s="5">
        <v>0</v>
      </c>
      <c r="K5" s="5">
        <v>0</v>
      </c>
      <c r="L5" s="5">
        <v>4</v>
      </c>
      <c r="M5" s="5">
        <v>1</v>
      </c>
      <c r="N5" s="5">
        <v>0</v>
      </c>
      <c r="O5" s="5">
        <v>1</v>
      </c>
      <c r="P5" s="5">
        <v>0</v>
      </c>
      <c r="Q5" s="4" t="s">
        <v>20</v>
      </c>
      <c r="R5" s="5">
        <v>0</v>
      </c>
      <c r="S5" s="5">
        <f t="shared" si="0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0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4</v>
      </c>
      <c r="C7" s="5">
        <v>4</v>
      </c>
      <c r="D7" s="5">
        <v>0</v>
      </c>
      <c r="E7" s="5">
        <v>116</v>
      </c>
      <c r="F7" s="5">
        <v>48</v>
      </c>
      <c r="G7" s="6">
        <f t="shared" si="1"/>
        <v>29</v>
      </c>
      <c r="H7" s="5">
        <v>77</v>
      </c>
      <c r="I7" s="6">
        <f t="shared" si="2"/>
        <v>150.64935064935065</v>
      </c>
      <c r="J7" s="5">
        <v>0</v>
      </c>
      <c r="K7" s="5">
        <v>0</v>
      </c>
      <c r="L7" s="5">
        <v>11</v>
      </c>
      <c r="M7" s="5">
        <v>6</v>
      </c>
      <c r="N7" s="5">
        <v>4</v>
      </c>
      <c r="O7" s="5">
        <v>0</v>
      </c>
      <c r="P7" s="5">
        <v>0</v>
      </c>
      <c r="Q7" s="4" t="s">
        <v>22</v>
      </c>
      <c r="R7" s="5">
        <v>0</v>
      </c>
      <c r="S7" s="5">
        <f t="shared" si="0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2</v>
      </c>
      <c r="C8" s="5">
        <v>2</v>
      </c>
      <c r="D8" s="5">
        <v>0</v>
      </c>
      <c r="E8" s="5">
        <v>25</v>
      </c>
      <c r="F8" s="5">
        <v>15</v>
      </c>
      <c r="G8" s="6">
        <f t="shared" si="1"/>
        <v>12.5</v>
      </c>
      <c r="H8" s="5">
        <v>14</v>
      </c>
      <c r="I8" s="6">
        <f t="shared" si="2"/>
        <v>178.57142857142858</v>
      </c>
      <c r="J8" s="5">
        <v>0</v>
      </c>
      <c r="K8" s="5">
        <v>0</v>
      </c>
      <c r="L8" s="5">
        <v>3</v>
      </c>
      <c r="M8" s="5">
        <v>1</v>
      </c>
      <c r="N8" s="5">
        <v>2</v>
      </c>
      <c r="O8" s="5">
        <v>0</v>
      </c>
      <c r="P8" s="5">
        <v>0</v>
      </c>
      <c r="Q8" s="4" t="s">
        <v>23</v>
      </c>
      <c r="R8" s="5">
        <v>0</v>
      </c>
      <c r="S8" s="5">
        <f t="shared" si="0"/>
        <v>0</v>
      </c>
      <c r="T8" s="5">
        <v>0</v>
      </c>
      <c r="U8" s="5">
        <v>0</v>
      </c>
      <c r="V8" s="5">
        <v>0</v>
      </c>
      <c r="W8" s="6">
        <v>0</v>
      </c>
      <c r="X8" s="6">
        <v>0</v>
      </c>
      <c r="Y8" s="6">
        <v>0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0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1</v>
      </c>
      <c r="C10" s="5">
        <f t="shared" ref="C10:C14" si="3">B10</f>
        <v>1</v>
      </c>
      <c r="D10" s="5">
        <v>0</v>
      </c>
      <c r="E10" s="5">
        <v>29</v>
      </c>
      <c r="F10" s="5">
        <v>29</v>
      </c>
      <c r="G10" s="6">
        <f t="shared" si="1"/>
        <v>29</v>
      </c>
      <c r="H10" s="5">
        <v>20</v>
      </c>
      <c r="I10" s="6">
        <f t="shared" si="2"/>
        <v>145</v>
      </c>
      <c r="J10" s="5">
        <v>0</v>
      </c>
      <c r="K10" s="5">
        <v>0</v>
      </c>
      <c r="L10" s="5">
        <v>2</v>
      </c>
      <c r="M10" s="5">
        <v>1</v>
      </c>
      <c r="N10" s="5">
        <v>0</v>
      </c>
      <c r="O10" s="5">
        <v>0</v>
      </c>
      <c r="P10" s="5">
        <v>0</v>
      </c>
      <c r="Q10" s="4" t="s">
        <v>25</v>
      </c>
      <c r="R10" s="5">
        <v>4</v>
      </c>
      <c r="S10" s="5">
        <f t="shared" si="0"/>
        <v>24</v>
      </c>
      <c r="T10" s="5">
        <v>15</v>
      </c>
      <c r="U10" s="5">
        <v>3</v>
      </c>
      <c r="V10" s="5" t="s">
        <v>77</v>
      </c>
      <c r="W10" s="6">
        <f t="shared" ref="W10:W24" si="4">T10/U10</f>
        <v>5</v>
      </c>
      <c r="X10" s="6">
        <f t="shared" ref="X10:X24" si="5">T10/R10</f>
        <v>3.75</v>
      </c>
      <c r="Y10" s="6">
        <f t="shared" ref="Y10:Y24" si="6">S10/U10</f>
        <v>8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f t="shared" si="3"/>
        <v>1</v>
      </c>
      <c r="D11" s="5">
        <v>1</v>
      </c>
      <c r="E11" s="5">
        <v>0</v>
      </c>
      <c r="F11" s="5">
        <v>0</v>
      </c>
      <c r="G11" s="6">
        <f t="shared" si="1"/>
        <v>0</v>
      </c>
      <c r="H11" s="5">
        <v>1</v>
      </c>
      <c r="I11" s="6">
        <f t="shared" si="2"/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4</v>
      </c>
      <c r="S11" s="5">
        <f t="shared" si="0"/>
        <v>24</v>
      </c>
      <c r="T11" s="5">
        <v>37</v>
      </c>
      <c r="U11" s="5">
        <v>2</v>
      </c>
      <c r="V11" s="5" t="s">
        <v>88</v>
      </c>
      <c r="W11" s="6">
        <f t="shared" si="4"/>
        <v>18.5</v>
      </c>
      <c r="X11" s="6">
        <f t="shared" si="5"/>
        <v>9.25</v>
      </c>
      <c r="Y11" s="6">
        <f t="shared" si="6"/>
        <v>12</v>
      </c>
      <c r="Z11" s="5">
        <v>0</v>
      </c>
      <c r="AA11" s="5">
        <v>0</v>
      </c>
    </row>
    <row r="12" spans="1:27" x14ac:dyDescent="0.25">
      <c r="A12" s="4" t="s">
        <v>27</v>
      </c>
      <c r="B12" s="5">
        <v>1</v>
      </c>
      <c r="C12" s="5">
        <f t="shared" si="3"/>
        <v>1</v>
      </c>
      <c r="D12" s="5">
        <v>0</v>
      </c>
      <c r="E12" s="5">
        <v>0</v>
      </c>
      <c r="F12" s="5">
        <v>0</v>
      </c>
      <c r="G12" s="6">
        <f t="shared" si="1"/>
        <v>0</v>
      </c>
      <c r="H12" s="5">
        <v>1</v>
      </c>
      <c r="I12" s="6">
        <f t="shared" si="2"/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4" t="s">
        <v>27</v>
      </c>
      <c r="R12" s="5">
        <v>5</v>
      </c>
      <c r="S12" s="5">
        <f t="shared" si="0"/>
        <v>30</v>
      </c>
      <c r="T12" s="5">
        <v>41</v>
      </c>
      <c r="U12" s="5">
        <v>2</v>
      </c>
      <c r="V12" s="5" t="s">
        <v>73</v>
      </c>
      <c r="W12" s="6">
        <f t="shared" si="4"/>
        <v>20.5</v>
      </c>
      <c r="X12" s="6">
        <f t="shared" si="5"/>
        <v>8.1999999999999993</v>
      </c>
      <c r="Y12" s="6">
        <f t="shared" si="6"/>
        <v>15</v>
      </c>
      <c r="Z12" s="5">
        <v>0</v>
      </c>
      <c r="AA12" s="5">
        <v>0</v>
      </c>
    </row>
    <row r="13" spans="1:27" x14ac:dyDescent="0.25">
      <c r="A13" s="4" t="s">
        <v>28</v>
      </c>
      <c r="B13" s="5">
        <v>1</v>
      </c>
      <c r="C13" s="5">
        <f t="shared" si="3"/>
        <v>1</v>
      </c>
      <c r="D13" s="5">
        <v>0</v>
      </c>
      <c r="E13" s="5">
        <v>1</v>
      </c>
      <c r="F13" s="5">
        <v>1</v>
      </c>
      <c r="G13" s="6">
        <f t="shared" si="1"/>
        <v>1</v>
      </c>
      <c r="H13" s="5">
        <v>1</v>
      </c>
      <c r="I13" s="6">
        <f t="shared" si="2"/>
        <v>100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4</v>
      </c>
      <c r="S13" s="5">
        <f t="shared" si="0"/>
        <v>24</v>
      </c>
      <c r="T13" s="5">
        <v>51</v>
      </c>
      <c r="U13" s="5">
        <v>0</v>
      </c>
      <c r="V13" s="5">
        <v>0</v>
      </c>
      <c r="W13" s="6">
        <v>0</v>
      </c>
      <c r="X13" s="6">
        <f t="shared" si="5"/>
        <v>12.75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1</v>
      </c>
      <c r="C14" s="5">
        <f t="shared" si="3"/>
        <v>1</v>
      </c>
      <c r="D14" s="5">
        <v>1</v>
      </c>
      <c r="E14" s="5">
        <v>3</v>
      </c>
      <c r="F14" s="5">
        <v>3</v>
      </c>
      <c r="G14" s="6">
        <f t="shared" si="1"/>
        <v>3</v>
      </c>
      <c r="H14" s="5">
        <v>2</v>
      </c>
      <c r="I14" s="6">
        <f t="shared" si="2"/>
        <v>150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4" t="s">
        <v>29</v>
      </c>
      <c r="R14" s="5">
        <v>3</v>
      </c>
      <c r="S14" s="5">
        <f t="shared" si="0"/>
        <v>18</v>
      </c>
      <c r="T14" s="5">
        <v>26</v>
      </c>
      <c r="U14" s="5">
        <v>1</v>
      </c>
      <c r="V14" s="5" t="s">
        <v>101</v>
      </c>
      <c r="W14" s="6">
        <f t="shared" si="4"/>
        <v>26</v>
      </c>
      <c r="X14" s="6">
        <f t="shared" si="5"/>
        <v>8.6666666666666661</v>
      </c>
      <c r="Y14" s="6">
        <f t="shared" si="6"/>
        <v>18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0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0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0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0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0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0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0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0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4</v>
      </c>
      <c r="S24" s="5">
        <f t="shared" si="0"/>
        <v>24</v>
      </c>
      <c r="T24" s="5">
        <v>36</v>
      </c>
      <c r="U24" s="5">
        <v>1</v>
      </c>
      <c r="V24" s="5" t="s">
        <v>68</v>
      </c>
      <c r="W24" s="6">
        <f t="shared" si="4"/>
        <v>36</v>
      </c>
      <c r="X24" s="6">
        <f t="shared" si="5"/>
        <v>9</v>
      </c>
      <c r="Y24" s="6">
        <f t="shared" si="6"/>
        <v>24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0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0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0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  <row r="28" spans="1:27" x14ac:dyDescent="0.25">
      <c r="W2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7"/>
  <sheetViews>
    <sheetView topLeftCell="I1" workbookViewId="0">
      <selection activeCell="F25" sqref="F25"/>
    </sheetView>
  </sheetViews>
  <sheetFormatPr defaultRowHeight="15" x14ac:dyDescent="0.25"/>
  <cols>
    <col min="1" max="1" width="20.5703125" customWidth="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11</v>
      </c>
      <c r="C2" s="5">
        <v>11</v>
      </c>
      <c r="D2" s="5">
        <v>1</v>
      </c>
      <c r="E2" s="5">
        <f>271+45</f>
        <v>316</v>
      </c>
      <c r="F2" s="5">
        <v>73</v>
      </c>
      <c r="G2" s="6">
        <f>E2/B2</f>
        <v>28.727272727272727</v>
      </c>
      <c r="H2" s="5">
        <f>199+33</f>
        <v>232</v>
      </c>
      <c r="I2" s="6">
        <f>E2/H2*100</f>
        <v>136.20689655172413</v>
      </c>
      <c r="J2" s="5">
        <v>0</v>
      </c>
      <c r="K2" s="5">
        <v>2</v>
      </c>
      <c r="L2" s="5">
        <v>26</v>
      </c>
      <c r="M2" s="5">
        <v>11</v>
      </c>
      <c r="N2" s="5">
        <v>8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10</v>
      </c>
      <c r="C3" s="5">
        <v>10</v>
      </c>
      <c r="D3" s="5">
        <v>2</v>
      </c>
      <c r="E3" s="5">
        <f>218+14</f>
        <v>232</v>
      </c>
      <c r="F3" s="5">
        <v>70</v>
      </c>
      <c r="G3" s="6">
        <f t="shared" ref="G3:G24" si="0">E3/B3</f>
        <v>23.2</v>
      </c>
      <c r="H3" s="5">
        <f>162+17</f>
        <v>179</v>
      </c>
      <c r="I3" s="6">
        <f t="shared" ref="I3:I24" si="1">E3/H3*100</f>
        <v>129.60893854748602</v>
      </c>
      <c r="J3" s="5">
        <v>0</v>
      </c>
      <c r="K3" s="5">
        <v>1</v>
      </c>
      <c r="L3" s="5">
        <v>26</v>
      </c>
      <c r="M3" s="5">
        <v>9</v>
      </c>
      <c r="N3" s="5">
        <v>1</v>
      </c>
      <c r="O3" s="5">
        <v>0</v>
      </c>
      <c r="P3" s="5">
        <v>1</v>
      </c>
      <c r="Q3" s="4" t="s">
        <v>18</v>
      </c>
      <c r="R3" s="5">
        <v>7</v>
      </c>
      <c r="S3" s="5">
        <f t="shared" ref="S3:S27" si="2">R3*6</f>
        <v>42</v>
      </c>
      <c r="T3" s="5">
        <v>50</v>
      </c>
      <c r="U3" s="5">
        <v>1</v>
      </c>
      <c r="V3" s="5" t="s">
        <v>60</v>
      </c>
      <c r="W3" s="6">
        <f t="shared" ref="W3:W24" si="3">T3/U3</f>
        <v>50</v>
      </c>
      <c r="X3" s="6">
        <f t="shared" ref="X3:X24" si="4">T3/R3</f>
        <v>7.1428571428571432</v>
      </c>
      <c r="Y3" s="6">
        <f t="shared" ref="Y3:Y24" si="5">S3/U3</f>
        <v>42</v>
      </c>
      <c r="Z3" s="5">
        <v>0</v>
      </c>
      <c r="AA3" s="5">
        <v>0</v>
      </c>
    </row>
    <row r="4" spans="1:27" x14ac:dyDescent="0.25">
      <c r="A4" s="4" t="s">
        <v>19</v>
      </c>
      <c r="B4" s="5">
        <v>5</v>
      </c>
      <c r="C4" s="5">
        <v>5</v>
      </c>
      <c r="D4" s="5">
        <v>2</v>
      </c>
      <c r="E4" s="5">
        <f>31+61</f>
        <v>92</v>
      </c>
      <c r="F4" s="5">
        <v>32</v>
      </c>
      <c r="G4" s="6">
        <f t="shared" si="0"/>
        <v>18.399999999999999</v>
      </c>
      <c r="H4" s="5">
        <f>17+32</f>
        <v>49</v>
      </c>
      <c r="I4" s="6">
        <f t="shared" si="1"/>
        <v>187.75510204081633</v>
      </c>
      <c r="J4" s="5">
        <v>0</v>
      </c>
      <c r="K4" s="5">
        <v>0</v>
      </c>
      <c r="L4" s="5">
        <v>5</v>
      </c>
      <c r="M4" s="5">
        <v>7</v>
      </c>
      <c r="N4" s="5">
        <v>3</v>
      </c>
      <c r="O4" s="5">
        <v>0</v>
      </c>
      <c r="P4" s="5">
        <v>1</v>
      </c>
      <c r="Q4" s="4" t="s">
        <v>19</v>
      </c>
      <c r="R4" s="5">
        <v>10</v>
      </c>
      <c r="S4" s="5">
        <f t="shared" si="2"/>
        <v>60</v>
      </c>
      <c r="T4" s="5">
        <f>23+59</f>
        <v>82</v>
      </c>
      <c r="U4" s="5">
        <v>2</v>
      </c>
      <c r="V4" s="5" t="s">
        <v>67</v>
      </c>
      <c r="W4" s="6">
        <f t="shared" si="3"/>
        <v>41</v>
      </c>
      <c r="X4" s="6">
        <f t="shared" si="4"/>
        <v>8.1999999999999993</v>
      </c>
      <c r="Y4" s="6">
        <f t="shared" si="5"/>
        <v>30</v>
      </c>
      <c r="Z4" s="5">
        <v>0</v>
      </c>
      <c r="AA4" s="5">
        <v>0</v>
      </c>
    </row>
    <row r="5" spans="1:27" x14ac:dyDescent="0.25">
      <c r="A5" s="4" t="s">
        <v>20</v>
      </c>
      <c r="B5" s="5">
        <v>9</v>
      </c>
      <c r="C5" s="5">
        <v>9</v>
      </c>
      <c r="D5" s="5">
        <v>1</v>
      </c>
      <c r="E5" s="5">
        <f>157+36</f>
        <v>193</v>
      </c>
      <c r="F5" s="5">
        <v>59</v>
      </c>
      <c r="G5" s="6">
        <f t="shared" si="0"/>
        <v>21.444444444444443</v>
      </c>
      <c r="H5" s="5">
        <f>133+27</f>
        <v>160</v>
      </c>
      <c r="I5" s="6">
        <f t="shared" si="1"/>
        <v>120.625</v>
      </c>
      <c r="J5" s="5">
        <v>0</v>
      </c>
      <c r="K5" s="5">
        <v>1</v>
      </c>
      <c r="L5" s="5">
        <v>24</v>
      </c>
      <c r="M5" s="5">
        <v>6</v>
      </c>
      <c r="N5" s="5">
        <v>1</v>
      </c>
      <c r="O5" s="5">
        <v>1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3</v>
      </c>
      <c r="C7" s="5">
        <v>3</v>
      </c>
      <c r="D7" s="5">
        <v>0</v>
      </c>
      <c r="E7" s="5">
        <v>12</v>
      </c>
      <c r="F7" s="5">
        <v>6</v>
      </c>
      <c r="G7" s="6">
        <f t="shared" si="0"/>
        <v>4</v>
      </c>
      <c r="H7" s="5">
        <f>13+12</f>
        <v>25</v>
      </c>
      <c r="I7" s="6">
        <f t="shared" si="1"/>
        <v>48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8</v>
      </c>
      <c r="C8" s="5">
        <v>8</v>
      </c>
      <c r="D8" s="5">
        <v>2</v>
      </c>
      <c r="E8" s="5">
        <f>161+7</f>
        <v>168</v>
      </c>
      <c r="F8" s="5">
        <v>63</v>
      </c>
      <c r="G8" s="6">
        <f t="shared" si="0"/>
        <v>21</v>
      </c>
      <c r="H8" s="5">
        <f>104+7</f>
        <v>111</v>
      </c>
      <c r="I8" s="6">
        <f t="shared" si="1"/>
        <v>151.35135135135135</v>
      </c>
      <c r="J8" s="5">
        <v>0</v>
      </c>
      <c r="K8" s="5">
        <v>1</v>
      </c>
      <c r="L8" s="5">
        <v>10</v>
      </c>
      <c r="M8" s="5">
        <v>10</v>
      </c>
      <c r="N8" s="5">
        <v>4</v>
      </c>
      <c r="O8" s="5">
        <v>0</v>
      </c>
      <c r="P8" s="5">
        <v>0</v>
      </c>
      <c r="Q8" s="4" t="s">
        <v>23</v>
      </c>
      <c r="R8" s="5">
        <v>15</v>
      </c>
      <c r="S8" s="5">
        <f t="shared" si="2"/>
        <v>90</v>
      </c>
      <c r="T8" s="5">
        <v>144</v>
      </c>
      <c r="U8" s="5">
        <v>2</v>
      </c>
      <c r="V8" s="5" t="s">
        <v>70</v>
      </c>
      <c r="W8" s="6">
        <f t="shared" si="3"/>
        <v>72</v>
      </c>
      <c r="X8" s="6">
        <f t="shared" si="4"/>
        <v>9.6</v>
      </c>
      <c r="Y8" s="6">
        <f t="shared" si="5"/>
        <v>45</v>
      </c>
      <c r="Z8" s="5">
        <v>0</v>
      </c>
      <c r="AA8" s="5">
        <v>0</v>
      </c>
    </row>
    <row r="9" spans="1:27" x14ac:dyDescent="0.25">
      <c r="A9" s="4" t="s">
        <v>24</v>
      </c>
      <c r="B9" s="5">
        <v>4</v>
      </c>
      <c r="C9" s="5">
        <v>4</v>
      </c>
      <c r="D9" s="5">
        <v>0</v>
      </c>
      <c r="E9" s="5">
        <v>75</v>
      </c>
      <c r="F9" s="5">
        <v>24</v>
      </c>
      <c r="G9" s="6">
        <f t="shared" si="0"/>
        <v>18.75</v>
      </c>
      <c r="H9" s="5">
        <v>53</v>
      </c>
      <c r="I9" s="6">
        <f t="shared" si="1"/>
        <v>141.50943396226415</v>
      </c>
      <c r="J9" s="5">
        <v>0</v>
      </c>
      <c r="K9" s="5">
        <v>0</v>
      </c>
      <c r="L9" s="5">
        <v>4</v>
      </c>
      <c r="M9" s="5">
        <v>3</v>
      </c>
      <c r="N9" s="5">
        <v>0</v>
      </c>
      <c r="O9" s="5">
        <v>0</v>
      </c>
      <c r="P9" s="5">
        <v>1</v>
      </c>
      <c r="Q9" s="4" t="s">
        <v>24</v>
      </c>
      <c r="R9" s="5">
        <v>1</v>
      </c>
      <c r="S9" s="5">
        <f t="shared" si="2"/>
        <v>6</v>
      </c>
      <c r="T9" s="5">
        <v>8</v>
      </c>
      <c r="U9" s="5">
        <v>0</v>
      </c>
      <c r="V9" s="5">
        <v>0</v>
      </c>
      <c r="W9" s="6">
        <v>0</v>
      </c>
      <c r="X9" s="6">
        <f t="shared" si="4"/>
        <v>8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3</v>
      </c>
      <c r="C10" s="5">
        <f>B10</f>
        <v>3</v>
      </c>
      <c r="D10" s="5">
        <v>0</v>
      </c>
      <c r="E10" s="5">
        <f>36+45</f>
        <v>81</v>
      </c>
      <c r="F10" s="5">
        <v>45</v>
      </c>
      <c r="G10" s="6">
        <f t="shared" si="0"/>
        <v>27</v>
      </c>
      <c r="H10" s="5">
        <f>17+29</f>
        <v>46</v>
      </c>
      <c r="I10" s="6">
        <f t="shared" si="1"/>
        <v>176.08695652173913</v>
      </c>
      <c r="J10" s="5">
        <v>0</v>
      </c>
      <c r="K10" s="5">
        <v>0</v>
      </c>
      <c r="L10" s="5">
        <v>10</v>
      </c>
      <c r="M10" s="5">
        <v>2</v>
      </c>
      <c r="N10" s="5">
        <v>1</v>
      </c>
      <c r="O10" s="5">
        <v>0</v>
      </c>
      <c r="P10" s="5">
        <v>0</v>
      </c>
      <c r="Q10" s="4" t="s">
        <v>25</v>
      </c>
      <c r="R10" s="5">
        <v>8</v>
      </c>
      <c r="S10" s="5">
        <f t="shared" si="2"/>
        <v>48</v>
      </c>
      <c r="T10" s="5">
        <f>26+20</f>
        <v>46</v>
      </c>
      <c r="U10" s="5">
        <v>2</v>
      </c>
      <c r="V10" s="5" t="s">
        <v>67</v>
      </c>
      <c r="W10" s="6">
        <f t="shared" si="3"/>
        <v>23</v>
      </c>
      <c r="X10" s="6">
        <f t="shared" si="4"/>
        <v>5.75</v>
      </c>
      <c r="Y10" s="6">
        <f t="shared" si="5"/>
        <v>24</v>
      </c>
      <c r="Z10" s="5">
        <v>0</v>
      </c>
      <c r="AA10" s="5">
        <v>0</v>
      </c>
    </row>
    <row r="11" spans="1:27" x14ac:dyDescent="0.25">
      <c r="A11" s="4" t="s">
        <v>26</v>
      </c>
      <c r="B11" s="5">
        <v>3</v>
      </c>
      <c r="C11" s="5">
        <f t="shared" ref="C11:C27" si="6">B11</f>
        <v>3</v>
      </c>
      <c r="D11" s="5">
        <v>1</v>
      </c>
      <c r="E11" s="5">
        <v>17</v>
      </c>
      <c r="F11" s="5">
        <v>11</v>
      </c>
      <c r="G11" s="6">
        <f t="shared" si="0"/>
        <v>5.666666666666667</v>
      </c>
      <c r="H11" s="5">
        <v>25</v>
      </c>
      <c r="I11" s="6">
        <f t="shared" si="1"/>
        <v>68</v>
      </c>
      <c r="J11" s="5">
        <v>0</v>
      </c>
      <c r="K11" s="5">
        <v>0</v>
      </c>
      <c r="L11" s="5">
        <v>2</v>
      </c>
      <c r="M11" s="5">
        <v>0</v>
      </c>
      <c r="N11" s="5">
        <v>1</v>
      </c>
      <c r="O11" s="5">
        <v>0</v>
      </c>
      <c r="P11" s="5">
        <v>0</v>
      </c>
      <c r="Q11" s="4" t="s">
        <v>26</v>
      </c>
      <c r="R11" s="5">
        <v>28</v>
      </c>
      <c r="S11" s="5">
        <f t="shared" si="2"/>
        <v>168</v>
      </c>
      <c r="T11" s="5">
        <f>173+43</f>
        <v>216</v>
      </c>
      <c r="U11" s="5">
        <v>13</v>
      </c>
      <c r="V11" s="5" t="s">
        <v>79</v>
      </c>
      <c r="W11" s="6">
        <f t="shared" si="3"/>
        <v>16.615384615384617</v>
      </c>
      <c r="X11" s="6">
        <f t="shared" si="4"/>
        <v>7.7142857142857144</v>
      </c>
      <c r="Y11" s="6">
        <f t="shared" si="5"/>
        <v>12.923076923076923</v>
      </c>
      <c r="Z11" s="5">
        <v>0</v>
      </c>
      <c r="AA11" s="5">
        <v>1</v>
      </c>
    </row>
    <row r="12" spans="1:27" x14ac:dyDescent="0.25">
      <c r="A12" s="4" t="s">
        <v>27</v>
      </c>
      <c r="B12" s="5">
        <v>1</v>
      </c>
      <c r="C12" s="5">
        <v>1</v>
      </c>
      <c r="D12" s="5">
        <v>0</v>
      </c>
      <c r="E12" s="5">
        <v>0</v>
      </c>
      <c r="F12" s="5">
        <v>0</v>
      </c>
      <c r="G12" s="6">
        <f t="shared" si="0"/>
        <v>0</v>
      </c>
      <c r="H12" s="5">
        <v>1</v>
      </c>
      <c r="I12" s="6">
        <f t="shared" si="1"/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20</v>
      </c>
      <c r="S12" s="5">
        <f t="shared" si="2"/>
        <v>120</v>
      </c>
      <c r="T12" s="5">
        <f>146+53</f>
        <v>199</v>
      </c>
      <c r="U12" s="5">
        <v>5</v>
      </c>
      <c r="V12" s="5" t="s">
        <v>111</v>
      </c>
      <c r="W12" s="6">
        <f t="shared" si="3"/>
        <v>39.799999999999997</v>
      </c>
      <c r="X12" s="6">
        <f t="shared" si="4"/>
        <v>9.9499999999999993</v>
      </c>
      <c r="Y12" s="6">
        <f t="shared" si="5"/>
        <v>24</v>
      </c>
      <c r="Z12" s="5">
        <v>0</v>
      </c>
      <c r="AA12" s="5">
        <v>0</v>
      </c>
    </row>
    <row r="13" spans="1:27" x14ac:dyDescent="0.25">
      <c r="A13" s="4" t="s">
        <v>28</v>
      </c>
      <c r="B13" s="5">
        <v>1</v>
      </c>
      <c r="C13" s="5">
        <f t="shared" si="6"/>
        <v>1</v>
      </c>
      <c r="D13" s="5">
        <v>0</v>
      </c>
      <c r="E13" s="5">
        <v>0</v>
      </c>
      <c r="F13" s="5">
        <v>0</v>
      </c>
      <c r="G13" s="6">
        <f t="shared" si="0"/>
        <v>0</v>
      </c>
      <c r="H13" s="5">
        <v>1</v>
      </c>
      <c r="I13" s="6">
        <f t="shared" si="1"/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4" t="s">
        <v>28</v>
      </c>
      <c r="R13" s="5">
        <v>10</v>
      </c>
      <c r="S13" s="5">
        <f t="shared" si="2"/>
        <v>60</v>
      </c>
      <c r="T13" s="5">
        <v>93</v>
      </c>
      <c r="U13" s="5">
        <v>5</v>
      </c>
      <c r="V13" s="5" t="s">
        <v>94</v>
      </c>
      <c r="W13" s="6">
        <f t="shared" si="3"/>
        <v>18.600000000000001</v>
      </c>
      <c r="X13" s="6">
        <f t="shared" si="4"/>
        <v>9.3000000000000007</v>
      </c>
      <c r="Y13" s="6">
        <f t="shared" si="5"/>
        <v>12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4</v>
      </c>
      <c r="S14" s="5">
        <f t="shared" si="2"/>
        <v>24</v>
      </c>
      <c r="T14" s="5">
        <v>23</v>
      </c>
      <c r="U14" s="5">
        <v>3</v>
      </c>
      <c r="V14" s="5" t="s">
        <v>118</v>
      </c>
      <c r="W14" s="6">
        <f t="shared" si="3"/>
        <v>7.666666666666667</v>
      </c>
      <c r="X14" s="6">
        <f t="shared" si="4"/>
        <v>5.75</v>
      </c>
      <c r="Y14" s="6">
        <f t="shared" si="5"/>
        <v>8</v>
      </c>
      <c r="Z14" s="5">
        <v>0</v>
      </c>
      <c r="AA14" s="5">
        <v>0</v>
      </c>
    </row>
    <row r="15" spans="1:27" x14ac:dyDescent="0.25">
      <c r="A15" s="4" t="s">
        <v>30</v>
      </c>
      <c r="B15" s="5">
        <v>1</v>
      </c>
      <c r="C15" s="5">
        <f t="shared" si="6"/>
        <v>1</v>
      </c>
      <c r="D15" s="5">
        <v>0</v>
      </c>
      <c r="E15" s="5">
        <v>1</v>
      </c>
      <c r="F15" s="5">
        <v>1</v>
      </c>
      <c r="G15" s="6">
        <f t="shared" si="0"/>
        <v>1</v>
      </c>
      <c r="H15" s="5">
        <v>3</v>
      </c>
      <c r="I15" s="6">
        <f t="shared" si="1"/>
        <v>33.333333333333329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4" t="s">
        <v>30</v>
      </c>
      <c r="R15" s="5">
        <v>16</v>
      </c>
      <c r="S15" s="5">
        <f t="shared" si="2"/>
        <v>96</v>
      </c>
      <c r="T15" s="5">
        <v>100</v>
      </c>
      <c r="U15" s="5">
        <v>1</v>
      </c>
      <c r="V15" s="5" t="s">
        <v>57</v>
      </c>
      <c r="W15" s="6">
        <f t="shared" si="3"/>
        <v>100</v>
      </c>
      <c r="X15" s="6">
        <f t="shared" si="4"/>
        <v>6.25</v>
      </c>
      <c r="Y15" s="6">
        <f t="shared" si="5"/>
        <v>96</v>
      </c>
      <c r="Z15" s="5">
        <v>0</v>
      </c>
      <c r="AA15" s="5">
        <v>0</v>
      </c>
    </row>
    <row r="16" spans="1:27" x14ac:dyDescent="0.25">
      <c r="A16" s="4" t="s">
        <v>31</v>
      </c>
      <c r="B16" s="5">
        <v>4</v>
      </c>
      <c r="C16" s="5">
        <f t="shared" si="6"/>
        <v>4</v>
      </c>
      <c r="D16" s="5">
        <v>0</v>
      </c>
      <c r="E16" s="5">
        <f>39+8</f>
        <v>47</v>
      </c>
      <c r="F16" s="5">
        <v>37</v>
      </c>
      <c r="G16" s="6">
        <f t="shared" si="0"/>
        <v>11.75</v>
      </c>
      <c r="H16" s="5">
        <f>24+8</f>
        <v>32</v>
      </c>
      <c r="I16" s="6">
        <f t="shared" si="1"/>
        <v>146.875</v>
      </c>
      <c r="J16" s="5">
        <v>0</v>
      </c>
      <c r="K16" s="5">
        <v>0</v>
      </c>
      <c r="L16" s="5">
        <v>3</v>
      </c>
      <c r="M16" s="5">
        <v>3</v>
      </c>
      <c r="N16" s="5">
        <v>1</v>
      </c>
      <c r="O16" s="5">
        <v>0</v>
      </c>
      <c r="P16" s="5">
        <v>0</v>
      </c>
      <c r="Q16" s="4" t="s">
        <v>31</v>
      </c>
      <c r="R16" s="5">
        <v>10</v>
      </c>
      <c r="S16" s="5">
        <f t="shared" si="2"/>
        <v>60</v>
      </c>
      <c r="T16" s="5">
        <f>34+39</f>
        <v>73</v>
      </c>
      <c r="U16" s="5">
        <v>3</v>
      </c>
      <c r="V16" s="5" t="s">
        <v>104</v>
      </c>
      <c r="W16" s="6">
        <f t="shared" si="3"/>
        <v>24.333333333333332</v>
      </c>
      <c r="X16" s="6">
        <f t="shared" si="4"/>
        <v>7.3</v>
      </c>
      <c r="Y16" s="6">
        <f t="shared" si="5"/>
        <v>20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4" t="s">
        <v>33</v>
      </c>
      <c r="R18" s="5">
        <v>4</v>
      </c>
      <c r="S18" s="5">
        <f t="shared" si="2"/>
        <v>24</v>
      </c>
      <c r="T18" s="5">
        <v>36</v>
      </c>
      <c r="U18" s="5">
        <v>3</v>
      </c>
      <c r="V18" s="5" t="s">
        <v>105</v>
      </c>
      <c r="W18" s="6">
        <f t="shared" si="3"/>
        <v>12</v>
      </c>
      <c r="X18" s="6">
        <f t="shared" si="4"/>
        <v>9</v>
      </c>
      <c r="Y18" s="6">
        <f t="shared" si="5"/>
        <v>8</v>
      </c>
      <c r="Z18" s="5">
        <v>0</v>
      </c>
      <c r="AA18" s="5">
        <v>0</v>
      </c>
    </row>
    <row r="19" spans="1:27" x14ac:dyDescent="0.25">
      <c r="A19" s="4" t="s">
        <v>34</v>
      </c>
      <c r="B19" s="5">
        <v>2</v>
      </c>
      <c r="C19" s="5">
        <f t="shared" si="6"/>
        <v>2</v>
      </c>
      <c r="D19" s="5">
        <v>0</v>
      </c>
      <c r="E19" s="5">
        <v>24</v>
      </c>
      <c r="F19" s="5">
        <v>17</v>
      </c>
      <c r="G19" s="6">
        <f t="shared" si="0"/>
        <v>12</v>
      </c>
      <c r="H19" s="5">
        <v>17</v>
      </c>
      <c r="I19" s="6">
        <f t="shared" si="1"/>
        <v>141.1764705882353</v>
      </c>
      <c r="J19" s="5">
        <v>0</v>
      </c>
      <c r="K19" s="5">
        <v>0</v>
      </c>
      <c r="L19" s="5">
        <v>1</v>
      </c>
      <c r="M19" s="5">
        <v>2</v>
      </c>
      <c r="N19" s="5">
        <v>0</v>
      </c>
      <c r="O19" s="5">
        <v>2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1</v>
      </c>
      <c r="C20" s="5">
        <v>1</v>
      </c>
      <c r="D20" s="5">
        <v>0</v>
      </c>
      <c r="E20" s="5">
        <v>5</v>
      </c>
      <c r="F20" s="5">
        <v>5</v>
      </c>
      <c r="G20" s="6">
        <f t="shared" si="0"/>
        <v>5</v>
      </c>
      <c r="H20" s="5">
        <v>10</v>
      </c>
      <c r="I20" s="6">
        <f t="shared" si="1"/>
        <v>50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2</v>
      </c>
      <c r="S20" s="5">
        <f t="shared" si="2"/>
        <v>12</v>
      </c>
      <c r="T20" s="5">
        <v>21</v>
      </c>
      <c r="U20" s="5">
        <v>1</v>
      </c>
      <c r="V20" s="5" t="s">
        <v>119</v>
      </c>
      <c r="W20" s="6">
        <f t="shared" si="3"/>
        <v>21</v>
      </c>
      <c r="X20" s="6">
        <f t="shared" si="4"/>
        <v>10.5</v>
      </c>
      <c r="Y20" s="6">
        <f t="shared" si="5"/>
        <v>12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49</v>
      </c>
      <c r="F22" s="5">
        <v>49</v>
      </c>
      <c r="G22" s="6">
        <f t="shared" si="0"/>
        <v>49</v>
      </c>
      <c r="H22" s="5">
        <v>31</v>
      </c>
      <c r="I22" s="6">
        <f t="shared" si="1"/>
        <v>158.06451612903226</v>
      </c>
      <c r="J22" s="5">
        <v>0</v>
      </c>
      <c r="K22" s="5">
        <v>0</v>
      </c>
      <c r="L22" s="5">
        <v>3</v>
      </c>
      <c r="M22" s="5">
        <v>4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6">
        <f t="shared" si="0"/>
        <v>1</v>
      </c>
      <c r="H24" s="5">
        <v>1</v>
      </c>
      <c r="I24" s="6">
        <f t="shared" si="1"/>
        <v>100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10</v>
      </c>
      <c r="S24" s="5">
        <f t="shared" si="2"/>
        <v>60</v>
      </c>
      <c r="T24" s="5">
        <f>58+51</f>
        <v>109</v>
      </c>
      <c r="U24" s="5">
        <v>2</v>
      </c>
      <c r="V24" s="5" t="s">
        <v>109</v>
      </c>
      <c r="W24" s="6">
        <f t="shared" si="3"/>
        <v>54.5</v>
      </c>
      <c r="X24" s="6">
        <f t="shared" si="4"/>
        <v>10.9</v>
      </c>
      <c r="Y24" s="6">
        <f t="shared" si="5"/>
        <v>30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7"/>
  <sheetViews>
    <sheetView topLeftCell="G3" workbookViewId="0">
      <selection activeCell="F25" sqref="F25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5</v>
      </c>
      <c r="C2" s="5">
        <v>5</v>
      </c>
      <c r="D2" s="5">
        <v>0</v>
      </c>
      <c r="E2" s="5">
        <v>25</v>
      </c>
      <c r="F2" s="5">
        <v>13</v>
      </c>
      <c r="G2" s="6">
        <f>E2/B2</f>
        <v>5</v>
      </c>
      <c r="H2" s="5">
        <f>37+8</f>
        <v>45</v>
      </c>
      <c r="I2" s="6">
        <f>E2/H2*100</f>
        <v>55.555555555555557</v>
      </c>
      <c r="J2" s="5">
        <v>0</v>
      </c>
      <c r="K2" s="5">
        <v>0</v>
      </c>
      <c r="L2" s="5">
        <v>2</v>
      </c>
      <c r="M2" s="5">
        <v>0</v>
      </c>
      <c r="N2" s="5">
        <v>1</v>
      </c>
      <c r="O2" s="5">
        <v>0</v>
      </c>
      <c r="P2" s="5">
        <v>0</v>
      </c>
      <c r="Q2" s="4" t="s">
        <v>17</v>
      </c>
      <c r="R2" s="5">
        <v>0</v>
      </c>
      <c r="S2" s="5">
        <f>R2*6</f>
        <v>0</v>
      </c>
      <c r="T2" s="5">
        <v>0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4</v>
      </c>
      <c r="C3" s="5">
        <v>4</v>
      </c>
      <c r="D3" s="5">
        <v>0</v>
      </c>
      <c r="E3" s="5">
        <v>107</v>
      </c>
      <c r="F3" s="5">
        <v>57</v>
      </c>
      <c r="G3" s="6">
        <f t="shared" ref="G3:G22" si="0">E3/B3</f>
        <v>26.75</v>
      </c>
      <c r="H3" s="5">
        <v>72</v>
      </c>
      <c r="I3" s="6">
        <f t="shared" ref="I3:I22" si="1">E3/H3*100</f>
        <v>148.61111111111111</v>
      </c>
      <c r="J3" s="5">
        <v>0</v>
      </c>
      <c r="K3" s="5">
        <v>1</v>
      </c>
      <c r="L3" s="5">
        <v>8</v>
      </c>
      <c r="M3" s="5">
        <v>7</v>
      </c>
      <c r="N3" s="5">
        <v>0</v>
      </c>
      <c r="O3" s="5">
        <v>0</v>
      </c>
      <c r="P3" s="5">
        <v>0</v>
      </c>
      <c r="Q3" s="4" t="s">
        <v>18</v>
      </c>
      <c r="R3" s="5">
        <v>3</v>
      </c>
      <c r="S3" s="5">
        <f t="shared" ref="S3:S27" si="2">R3*6</f>
        <v>18</v>
      </c>
      <c r="T3" s="5">
        <v>25</v>
      </c>
      <c r="U3" s="5">
        <v>0</v>
      </c>
      <c r="V3" s="5">
        <v>0</v>
      </c>
      <c r="W3" s="6">
        <v>0</v>
      </c>
      <c r="X3" s="6">
        <f t="shared" ref="X3:X20" si="3">T3/R3</f>
        <v>8.3333333333333339</v>
      </c>
      <c r="Y3" s="6">
        <v>0</v>
      </c>
      <c r="Z3" s="5">
        <v>0</v>
      </c>
      <c r="AA3" s="5">
        <v>0</v>
      </c>
    </row>
    <row r="4" spans="1:27" x14ac:dyDescent="0.25">
      <c r="A4" s="4" t="s">
        <v>19</v>
      </c>
      <c r="B4" s="5">
        <v>2</v>
      </c>
      <c r="C4" s="5">
        <v>2</v>
      </c>
      <c r="D4" s="5">
        <v>0</v>
      </c>
      <c r="E4" s="5">
        <v>29</v>
      </c>
      <c r="F4" s="5">
        <v>25</v>
      </c>
      <c r="G4" s="6">
        <f t="shared" si="0"/>
        <v>14.5</v>
      </c>
      <c r="H4" s="5">
        <v>17</v>
      </c>
      <c r="I4" s="6">
        <f t="shared" si="1"/>
        <v>170.58823529411765</v>
      </c>
      <c r="J4" s="5">
        <v>0</v>
      </c>
      <c r="K4" s="5">
        <v>0</v>
      </c>
      <c r="L4" s="5">
        <v>3</v>
      </c>
      <c r="M4" s="5">
        <v>1</v>
      </c>
      <c r="N4" s="5">
        <v>2</v>
      </c>
      <c r="O4" s="5">
        <v>0</v>
      </c>
      <c r="P4" s="5">
        <v>0</v>
      </c>
      <c r="Q4" s="4" t="s">
        <v>19</v>
      </c>
      <c r="R4" s="5">
        <v>7</v>
      </c>
      <c r="S4" s="5">
        <f t="shared" si="2"/>
        <v>42</v>
      </c>
      <c r="T4" s="5">
        <v>58</v>
      </c>
      <c r="U4" s="5">
        <v>2</v>
      </c>
      <c r="V4" s="5" t="s">
        <v>120</v>
      </c>
      <c r="W4" s="6">
        <f t="shared" ref="W4:W8" si="4">T4/U4</f>
        <v>29</v>
      </c>
      <c r="X4" s="6">
        <f t="shared" si="3"/>
        <v>8.2857142857142865</v>
      </c>
      <c r="Y4" s="6">
        <f t="shared" ref="Y4:Y14" si="5">S4/U4</f>
        <v>21</v>
      </c>
      <c r="Z4" s="5">
        <v>0</v>
      </c>
      <c r="AA4" s="5">
        <v>0</v>
      </c>
    </row>
    <row r="5" spans="1:27" x14ac:dyDescent="0.25">
      <c r="A5" s="4" t="s">
        <v>20</v>
      </c>
      <c r="B5" s="5">
        <v>1</v>
      </c>
      <c r="C5" s="5">
        <v>1</v>
      </c>
      <c r="D5" s="5">
        <v>0</v>
      </c>
      <c r="E5" s="5">
        <v>67</v>
      </c>
      <c r="F5" s="5">
        <v>67</v>
      </c>
      <c r="G5" s="6">
        <f t="shared" si="0"/>
        <v>67</v>
      </c>
      <c r="H5" s="5">
        <v>48</v>
      </c>
      <c r="I5" s="6">
        <f t="shared" si="1"/>
        <v>139.58333333333331</v>
      </c>
      <c r="J5" s="5">
        <v>0</v>
      </c>
      <c r="K5" s="5">
        <v>1</v>
      </c>
      <c r="L5" s="5">
        <v>6</v>
      </c>
      <c r="M5" s="5">
        <v>2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1</v>
      </c>
      <c r="C7" s="5">
        <v>1</v>
      </c>
      <c r="D7" s="5">
        <v>0</v>
      </c>
      <c r="E7" s="5">
        <v>58</v>
      </c>
      <c r="F7" s="5">
        <v>58</v>
      </c>
      <c r="G7" s="6">
        <f t="shared" si="0"/>
        <v>58</v>
      </c>
      <c r="H7" s="5">
        <v>42</v>
      </c>
      <c r="I7" s="6">
        <f t="shared" si="1"/>
        <v>138.0952380952381</v>
      </c>
      <c r="J7" s="5">
        <v>0</v>
      </c>
      <c r="K7" s="5">
        <v>1</v>
      </c>
      <c r="L7" s="5">
        <v>4</v>
      </c>
      <c r="M7" s="5">
        <v>3</v>
      </c>
      <c r="N7" s="5">
        <v>1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5</v>
      </c>
      <c r="C8" s="5">
        <v>5</v>
      </c>
      <c r="D8" s="5">
        <v>0</v>
      </c>
      <c r="E8" s="5">
        <v>62</v>
      </c>
      <c r="F8" s="5">
        <v>25</v>
      </c>
      <c r="G8" s="6">
        <f t="shared" si="0"/>
        <v>12.4</v>
      </c>
      <c r="H8" s="5">
        <f>35+27</f>
        <v>62</v>
      </c>
      <c r="I8" s="6">
        <f t="shared" si="1"/>
        <v>100</v>
      </c>
      <c r="J8" s="5">
        <v>0</v>
      </c>
      <c r="K8" s="5">
        <v>0</v>
      </c>
      <c r="L8" s="5">
        <v>4</v>
      </c>
      <c r="M8" s="5">
        <v>3</v>
      </c>
      <c r="N8" s="5">
        <v>1</v>
      </c>
      <c r="O8" s="5">
        <v>0</v>
      </c>
      <c r="P8" s="5">
        <v>1</v>
      </c>
      <c r="Q8" s="4" t="s">
        <v>23</v>
      </c>
      <c r="R8" s="5">
        <v>9</v>
      </c>
      <c r="S8" s="5">
        <f t="shared" si="2"/>
        <v>54</v>
      </c>
      <c r="T8" s="5">
        <v>94</v>
      </c>
      <c r="U8" s="5">
        <v>3</v>
      </c>
      <c r="V8" s="5" t="s">
        <v>62</v>
      </c>
      <c r="W8" s="6">
        <f t="shared" si="4"/>
        <v>31.333333333333332</v>
      </c>
      <c r="X8" s="6">
        <f t="shared" si="3"/>
        <v>10.444444444444445</v>
      </c>
      <c r="Y8" s="6">
        <f t="shared" si="5"/>
        <v>18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2</v>
      </c>
      <c r="C10" s="5">
        <v>2</v>
      </c>
      <c r="D10" s="5">
        <v>1</v>
      </c>
      <c r="E10" s="5">
        <v>9</v>
      </c>
      <c r="F10" s="5">
        <v>7</v>
      </c>
      <c r="G10" s="6">
        <f t="shared" si="0"/>
        <v>4.5</v>
      </c>
      <c r="H10" s="5">
        <v>8</v>
      </c>
      <c r="I10" s="6">
        <f t="shared" si="1"/>
        <v>112.5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0</v>
      </c>
      <c r="P10" s="5">
        <v>0</v>
      </c>
      <c r="Q10" s="4" t="s">
        <v>25</v>
      </c>
      <c r="R10" s="5">
        <v>6</v>
      </c>
      <c r="S10" s="5">
        <f t="shared" si="2"/>
        <v>36</v>
      </c>
      <c r="T10" s="5">
        <v>61</v>
      </c>
      <c r="U10" s="5">
        <v>1</v>
      </c>
      <c r="V10" s="5" t="s">
        <v>121</v>
      </c>
      <c r="W10" s="6">
        <f t="shared" ref="W10:W14" si="6">T10/U10</f>
        <v>61</v>
      </c>
      <c r="X10" s="6">
        <f t="shared" si="3"/>
        <v>10.166666666666666</v>
      </c>
      <c r="Y10" s="6">
        <f t="shared" si="5"/>
        <v>36</v>
      </c>
      <c r="Z10" s="5">
        <v>0</v>
      </c>
      <c r="AA10" s="5">
        <v>0</v>
      </c>
    </row>
    <row r="11" spans="1:27" x14ac:dyDescent="0.25">
      <c r="A11" s="4" t="s">
        <v>26</v>
      </c>
      <c r="B11" s="5">
        <v>2</v>
      </c>
      <c r="C11" s="5">
        <f t="shared" ref="C11" si="7">B11</f>
        <v>2</v>
      </c>
      <c r="D11" s="5">
        <v>0</v>
      </c>
      <c r="E11" s="5">
        <v>8</v>
      </c>
      <c r="F11" s="5">
        <v>7</v>
      </c>
      <c r="G11" s="6">
        <f t="shared" si="0"/>
        <v>4</v>
      </c>
      <c r="H11" s="5">
        <v>15</v>
      </c>
      <c r="I11" s="6">
        <f t="shared" si="1"/>
        <v>53.333333333333336</v>
      </c>
      <c r="J11" s="5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20</v>
      </c>
      <c r="S11" s="5">
        <f t="shared" si="2"/>
        <v>120</v>
      </c>
      <c r="T11" s="5">
        <f>106+32</f>
        <v>138</v>
      </c>
      <c r="U11" s="5">
        <v>2</v>
      </c>
      <c r="V11" s="5" t="s">
        <v>80</v>
      </c>
      <c r="W11" s="6">
        <f t="shared" si="6"/>
        <v>69</v>
      </c>
      <c r="X11" s="6">
        <f t="shared" si="3"/>
        <v>6.9</v>
      </c>
      <c r="Y11" s="6">
        <f t="shared" si="5"/>
        <v>60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8</v>
      </c>
      <c r="S12" s="5">
        <f t="shared" si="2"/>
        <v>48</v>
      </c>
      <c r="T12" s="5">
        <v>52</v>
      </c>
      <c r="U12" s="5">
        <v>3</v>
      </c>
      <c r="V12" s="5" t="s">
        <v>122</v>
      </c>
      <c r="W12" s="6">
        <f t="shared" si="6"/>
        <v>17.333333333333332</v>
      </c>
      <c r="X12" s="6">
        <f t="shared" si="3"/>
        <v>6.5</v>
      </c>
      <c r="Y12" s="6">
        <f t="shared" si="5"/>
        <v>16</v>
      </c>
      <c r="Z12" s="5">
        <v>0</v>
      </c>
      <c r="AA12" s="5">
        <v>0</v>
      </c>
    </row>
    <row r="13" spans="1:27" x14ac:dyDescent="0.25">
      <c r="A13" s="4" t="s">
        <v>28</v>
      </c>
      <c r="B13" s="5">
        <v>1</v>
      </c>
      <c r="C13" s="5">
        <v>1</v>
      </c>
      <c r="D13" s="5">
        <v>0</v>
      </c>
      <c r="E13" s="5">
        <v>0</v>
      </c>
      <c r="F13" s="5">
        <v>0</v>
      </c>
      <c r="G13" s="6">
        <f t="shared" si="0"/>
        <v>0</v>
      </c>
      <c r="H13" s="5">
        <v>1</v>
      </c>
      <c r="I13" s="6">
        <f t="shared" si="1"/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3</v>
      </c>
      <c r="S13" s="5">
        <f t="shared" si="2"/>
        <v>18</v>
      </c>
      <c r="T13" s="5">
        <v>34</v>
      </c>
      <c r="U13" s="5">
        <v>1</v>
      </c>
      <c r="V13" s="5" t="s">
        <v>96</v>
      </c>
      <c r="W13" s="6">
        <f t="shared" si="6"/>
        <v>34</v>
      </c>
      <c r="X13" s="6">
        <f t="shared" si="3"/>
        <v>11.333333333333334</v>
      </c>
      <c r="Y13" s="6">
        <f t="shared" si="5"/>
        <v>18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4</v>
      </c>
      <c r="S14" s="5">
        <v>24</v>
      </c>
      <c r="T14" s="5">
        <v>29</v>
      </c>
      <c r="U14" s="5">
        <v>3</v>
      </c>
      <c r="V14" s="5" t="s">
        <v>92</v>
      </c>
      <c r="W14" s="6">
        <f t="shared" si="6"/>
        <v>9.6666666666666661</v>
      </c>
      <c r="X14" s="6">
        <f t="shared" si="3"/>
        <v>7.25</v>
      </c>
      <c r="Y14" s="6">
        <f t="shared" si="5"/>
        <v>8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1</v>
      </c>
      <c r="C16" s="5">
        <v>1</v>
      </c>
      <c r="D16" s="5">
        <v>1</v>
      </c>
      <c r="E16" s="5">
        <v>13</v>
      </c>
      <c r="F16" s="5">
        <v>13</v>
      </c>
      <c r="G16" s="6">
        <f t="shared" si="0"/>
        <v>13</v>
      </c>
      <c r="H16" s="5">
        <v>9</v>
      </c>
      <c r="I16" s="6">
        <f t="shared" si="1"/>
        <v>144.44444444444443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1</v>
      </c>
      <c r="C20" s="5">
        <v>1</v>
      </c>
      <c r="D20" s="5">
        <v>1</v>
      </c>
      <c r="E20" s="5">
        <v>0</v>
      </c>
      <c r="F20" s="5">
        <v>0</v>
      </c>
      <c r="G20" s="6">
        <f t="shared" si="0"/>
        <v>0</v>
      </c>
      <c r="H20" s="5">
        <v>1</v>
      </c>
      <c r="I20" s="6">
        <f t="shared" si="1"/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4</v>
      </c>
      <c r="S20" s="5">
        <f t="shared" si="2"/>
        <v>24</v>
      </c>
      <c r="T20" s="5">
        <v>39</v>
      </c>
      <c r="U20" s="5">
        <v>0</v>
      </c>
      <c r="V20" s="5">
        <v>0</v>
      </c>
      <c r="W20" s="6">
        <v>0</v>
      </c>
      <c r="X20" s="6">
        <f t="shared" si="3"/>
        <v>9.75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0</v>
      </c>
      <c r="F22" s="5">
        <v>0</v>
      </c>
      <c r="G22" s="6">
        <f t="shared" si="0"/>
        <v>0</v>
      </c>
      <c r="H22" s="5">
        <v>1</v>
      </c>
      <c r="I22" s="6">
        <f t="shared" si="1"/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2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7"/>
  <sheetViews>
    <sheetView topLeftCell="I3" workbookViewId="0">
      <selection activeCell="F25" sqref="F25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16</v>
      </c>
      <c r="C2" s="5">
        <v>16</v>
      </c>
      <c r="D2" s="5">
        <v>4</v>
      </c>
      <c r="E2" s="5">
        <f>429+37</f>
        <v>466</v>
      </c>
      <c r="F2" s="5">
        <v>76</v>
      </c>
      <c r="G2" s="6">
        <f>E2/B2</f>
        <v>29.125</v>
      </c>
      <c r="H2" s="5">
        <f>297+38</f>
        <v>335</v>
      </c>
      <c r="I2" s="6">
        <f>E2/H2*100</f>
        <v>139.1044776119403</v>
      </c>
      <c r="J2" s="5">
        <v>0</v>
      </c>
      <c r="K2" s="5">
        <v>4</v>
      </c>
      <c r="L2" s="5">
        <v>47</v>
      </c>
      <c r="M2" s="5">
        <v>18</v>
      </c>
      <c r="N2" s="5">
        <v>7</v>
      </c>
      <c r="O2" s="5">
        <v>0</v>
      </c>
      <c r="P2" s="5">
        <v>1</v>
      </c>
      <c r="Q2" s="4" t="s">
        <v>17</v>
      </c>
      <c r="R2" s="5">
        <v>1</v>
      </c>
      <c r="S2" s="5">
        <f>R2*6</f>
        <v>6</v>
      </c>
      <c r="T2" s="5">
        <v>6</v>
      </c>
      <c r="U2" s="5">
        <v>0</v>
      </c>
      <c r="V2" s="5">
        <v>0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12</v>
      </c>
      <c r="C3" s="5">
        <v>12</v>
      </c>
      <c r="D3" s="5">
        <v>1</v>
      </c>
      <c r="E3" s="5">
        <v>179</v>
      </c>
      <c r="F3" s="5">
        <v>62</v>
      </c>
      <c r="G3" s="6">
        <f t="shared" ref="G3:G24" si="0">E3/B3</f>
        <v>14.916666666666666</v>
      </c>
      <c r="H3" s="5">
        <v>159</v>
      </c>
      <c r="I3" s="6">
        <f t="shared" ref="I3:I24" si="1">E3/H3*100</f>
        <v>112.57861635220125</v>
      </c>
      <c r="J3" s="5">
        <v>0</v>
      </c>
      <c r="K3" s="5">
        <v>1</v>
      </c>
      <c r="L3" s="5">
        <v>16</v>
      </c>
      <c r="M3" s="5">
        <v>7</v>
      </c>
      <c r="N3" s="5">
        <v>8</v>
      </c>
      <c r="O3" s="5">
        <v>0</v>
      </c>
      <c r="P3" s="5">
        <v>2</v>
      </c>
      <c r="Q3" s="4" t="s">
        <v>18</v>
      </c>
      <c r="R3" s="5">
        <v>13</v>
      </c>
      <c r="S3" s="5">
        <f t="shared" ref="S3:S27" si="2">R3*6</f>
        <v>78</v>
      </c>
      <c r="T3" s="5">
        <v>67</v>
      </c>
      <c r="U3" s="5">
        <v>4</v>
      </c>
      <c r="V3" s="5" t="s">
        <v>61</v>
      </c>
      <c r="W3" s="6">
        <f t="shared" ref="W3:W25" si="3">T3/U3</f>
        <v>16.75</v>
      </c>
      <c r="X3" s="6">
        <f t="shared" ref="X3:X25" si="4">T3/R3</f>
        <v>5.1538461538461542</v>
      </c>
      <c r="Y3" s="6">
        <f t="shared" ref="Y3:Y25" si="5">S3/U3</f>
        <v>19.5</v>
      </c>
      <c r="Z3" s="5">
        <v>0</v>
      </c>
      <c r="AA3" s="5">
        <v>0</v>
      </c>
    </row>
    <row r="4" spans="1:27" x14ac:dyDescent="0.25">
      <c r="A4" s="4" t="s">
        <v>19</v>
      </c>
      <c r="B4" s="5">
        <v>5</v>
      </c>
      <c r="C4" s="5">
        <v>5</v>
      </c>
      <c r="D4" s="5">
        <v>0</v>
      </c>
      <c r="E4" s="5">
        <f>27+30</f>
        <v>57</v>
      </c>
      <c r="F4" s="5">
        <v>16</v>
      </c>
      <c r="G4" s="6">
        <f t="shared" si="0"/>
        <v>11.4</v>
      </c>
      <c r="H4" s="5">
        <f>38+24</f>
        <v>62</v>
      </c>
      <c r="I4" s="6">
        <f t="shared" si="1"/>
        <v>91.935483870967744</v>
      </c>
      <c r="J4" s="5">
        <v>0</v>
      </c>
      <c r="K4" s="5">
        <v>0</v>
      </c>
      <c r="L4" s="5">
        <v>1</v>
      </c>
      <c r="M4" s="5">
        <v>3</v>
      </c>
      <c r="N4" s="5">
        <v>4</v>
      </c>
      <c r="O4" s="5">
        <v>0</v>
      </c>
      <c r="P4" s="5">
        <v>1</v>
      </c>
      <c r="Q4" s="4" t="s">
        <v>19</v>
      </c>
      <c r="R4" s="5">
        <v>7</v>
      </c>
      <c r="S4" s="5">
        <f t="shared" si="2"/>
        <v>42</v>
      </c>
      <c r="T4" s="5">
        <f>55+12</f>
        <v>67</v>
      </c>
      <c r="U4" s="5">
        <v>0</v>
      </c>
      <c r="V4" s="5">
        <v>0</v>
      </c>
      <c r="W4" s="6">
        <v>0</v>
      </c>
      <c r="X4" s="6">
        <f t="shared" si="4"/>
        <v>9.5714285714285712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4</v>
      </c>
      <c r="C5" s="5">
        <v>4</v>
      </c>
      <c r="D5" s="5">
        <v>0</v>
      </c>
      <c r="E5" s="5">
        <f>44+49</f>
        <v>93</v>
      </c>
      <c r="F5" s="5">
        <v>44</v>
      </c>
      <c r="G5" s="6">
        <f t="shared" si="0"/>
        <v>23.25</v>
      </c>
      <c r="H5" s="5">
        <v>70</v>
      </c>
      <c r="I5" s="6">
        <f t="shared" si="1"/>
        <v>132.85714285714286</v>
      </c>
      <c r="J5" s="5">
        <v>0</v>
      </c>
      <c r="K5" s="5">
        <v>0</v>
      </c>
      <c r="L5" s="5">
        <v>6</v>
      </c>
      <c r="M5" s="5">
        <v>7</v>
      </c>
      <c r="N5" s="5">
        <v>4</v>
      </c>
      <c r="O5" s="5">
        <v>1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3</v>
      </c>
      <c r="C7" s="5">
        <v>3</v>
      </c>
      <c r="D7" s="5">
        <v>0</v>
      </c>
      <c r="E7" s="5">
        <v>55</v>
      </c>
      <c r="F7" s="5">
        <v>25</v>
      </c>
      <c r="G7" s="6">
        <f t="shared" si="0"/>
        <v>18.333333333333332</v>
      </c>
      <c r="H7" s="5">
        <v>56</v>
      </c>
      <c r="I7" s="6">
        <f t="shared" si="1"/>
        <v>98.214285714285708</v>
      </c>
      <c r="J7" s="5">
        <v>0</v>
      </c>
      <c r="K7" s="5">
        <v>0</v>
      </c>
      <c r="L7" s="5">
        <v>8</v>
      </c>
      <c r="M7" s="5">
        <v>0</v>
      </c>
      <c r="N7" s="5">
        <v>3</v>
      </c>
      <c r="O7" s="5">
        <v>0</v>
      </c>
      <c r="P7" s="5">
        <v>1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8</v>
      </c>
      <c r="C8" s="5">
        <v>8</v>
      </c>
      <c r="D8" s="5">
        <v>4</v>
      </c>
      <c r="E8" s="5">
        <f>32+118</f>
        <v>150</v>
      </c>
      <c r="F8" s="5">
        <v>49</v>
      </c>
      <c r="G8" s="6">
        <f t="shared" si="0"/>
        <v>18.75</v>
      </c>
      <c r="H8" s="5">
        <f>39+74</f>
        <v>113</v>
      </c>
      <c r="I8" s="6">
        <f t="shared" si="1"/>
        <v>132.74336283185841</v>
      </c>
      <c r="J8" s="5">
        <v>0</v>
      </c>
      <c r="K8" s="5">
        <v>0</v>
      </c>
      <c r="L8" s="5">
        <v>9</v>
      </c>
      <c r="M8" s="5">
        <v>10</v>
      </c>
      <c r="N8" s="5">
        <v>5</v>
      </c>
      <c r="O8" s="5">
        <v>0</v>
      </c>
      <c r="P8" s="5">
        <v>1</v>
      </c>
      <c r="Q8" s="4" t="s">
        <v>23</v>
      </c>
      <c r="R8" s="5">
        <v>6</v>
      </c>
      <c r="S8" s="5">
        <f t="shared" si="2"/>
        <v>36</v>
      </c>
      <c r="T8" s="5">
        <v>62</v>
      </c>
      <c r="U8" s="5">
        <v>2</v>
      </c>
      <c r="V8" s="5" t="s">
        <v>60</v>
      </c>
      <c r="W8" s="6">
        <f t="shared" si="3"/>
        <v>31</v>
      </c>
      <c r="X8" s="6">
        <f t="shared" si="4"/>
        <v>10.333333333333334</v>
      </c>
      <c r="Y8" s="6">
        <f t="shared" si="5"/>
        <v>18</v>
      </c>
      <c r="Z8" s="5">
        <v>0</v>
      </c>
      <c r="AA8" s="5">
        <v>0</v>
      </c>
    </row>
    <row r="9" spans="1:27" x14ac:dyDescent="0.25">
      <c r="A9" s="4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6">
        <v>0</v>
      </c>
      <c r="H9" s="5">
        <v>0</v>
      </c>
      <c r="I9" s="6">
        <v>0</v>
      </c>
      <c r="J9" s="5">
        <v>0</v>
      </c>
      <c r="K9" s="5">
        <v>0</v>
      </c>
      <c r="L9" s="5">
        <v>0</v>
      </c>
      <c r="M9" s="5">
        <v>0</v>
      </c>
      <c r="N9" s="5">
        <v>1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5</v>
      </c>
      <c r="C10" s="5">
        <f t="shared" ref="C10:C27" si="6">B10</f>
        <v>5</v>
      </c>
      <c r="D10" s="5">
        <v>1</v>
      </c>
      <c r="E10" s="5">
        <f>96+32</f>
        <v>128</v>
      </c>
      <c r="F10" s="5">
        <v>49</v>
      </c>
      <c r="G10" s="6">
        <f t="shared" si="0"/>
        <v>25.6</v>
      </c>
      <c r="H10" s="5">
        <f>66+30</f>
        <v>96</v>
      </c>
      <c r="I10" s="6">
        <f t="shared" si="1"/>
        <v>133.33333333333331</v>
      </c>
      <c r="J10" s="5">
        <v>0</v>
      </c>
      <c r="K10" s="5">
        <v>0</v>
      </c>
      <c r="L10" s="5">
        <v>8</v>
      </c>
      <c r="M10" s="5">
        <v>5</v>
      </c>
      <c r="N10" s="5">
        <v>1</v>
      </c>
      <c r="O10" s="5">
        <v>0</v>
      </c>
      <c r="P10" s="5">
        <v>1</v>
      </c>
      <c r="Q10" s="4" t="s">
        <v>25</v>
      </c>
      <c r="R10" s="5">
        <v>11</v>
      </c>
      <c r="S10" s="5">
        <f t="shared" si="2"/>
        <v>66</v>
      </c>
      <c r="T10" s="5">
        <f>31+58</f>
        <v>89</v>
      </c>
      <c r="U10" s="5">
        <v>1</v>
      </c>
      <c r="V10" s="5" t="s">
        <v>91</v>
      </c>
      <c r="W10" s="6">
        <f t="shared" si="3"/>
        <v>89</v>
      </c>
      <c r="X10" s="6">
        <f t="shared" si="4"/>
        <v>8.0909090909090917</v>
      </c>
      <c r="Y10" s="6">
        <f t="shared" si="5"/>
        <v>66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4" t="s">
        <v>26</v>
      </c>
      <c r="R11" s="5">
        <v>27</v>
      </c>
      <c r="S11" s="5">
        <f t="shared" si="2"/>
        <v>162</v>
      </c>
      <c r="T11" s="5">
        <f>141+51</f>
        <v>192</v>
      </c>
      <c r="U11" s="5">
        <v>9</v>
      </c>
      <c r="V11" s="5" t="s">
        <v>81</v>
      </c>
      <c r="W11" s="6">
        <f t="shared" si="3"/>
        <v>21.333333333333332</v>
      </c>
      <c r="X11" s="6">
        <f t="shared" si="4"/>
        <v>7.1111111111111107</v>
      </c>
      <c r="Y11" s="6">
        <f t="shared" si="5"/>
        <v>18</v>
      </c>
      <c r="Z11" s="5">
        <v>0</v>
      </c>
      <c r="AA11" s="5">
        <v>0</v>
      </c>
    </row>
    <row r="12" spans="1:27" x14ac:dyDescent="0.25">
      <c r="A12" s="4" t="s">
        <v>27</v>
      </c>
      <c r="B12" s="5">
        <v>1</v>
      </c>
      <c r="C12" s="5">
        <v>1</v>
      </c>
      <c r="D12" s="5">
        <v>1</v>
      </c>
      <c r="E12" s="5">
        <v>5</v>
      </c>
      <c r="F12" s="5">
        <v>5</v>
      </c>
      <c r="G12" s="6">
        <f t="shared" si="0"/>
        <v>5</v>
      </c>
      <c r="H12" s="5">
        <v>5</v>
      </c>
      <c r="I12" s="6">
        <f t="shared" si="1"/>
        <v>100</v>
      </c>
      <c r="J12" s="5">
        <v>0</v>
      </c>
      <c r="K12" s="5">
        <v>0</v>
      </c>
      <c r="L12" s="5">
        <v>0</v>
      </c>
      <c r="M12" s="5">
        <v>0</v>
      </c>
      <c r="N12" s="5">
        <v>2</v>
      </c>
      <c r="O12" s="5">
        <v>0</v>
      </c>
      <c r="P12" s="5">
        <v>0</v>
      </c>
      <c r="Q12" s="4" t="s">
        <v>27</v>
      </c>
      <c r="R12" s="5">
        <f>15+11</f>
        <v>26</v>
      </c>
      <c r="S12" s="5">
        <f t="shared" si="2"/>
        <v>156</v>
      </c>
      <c r="T12" s="5">
        <f>94+67</f>
        <v>161</v>
      </c>
      <c r="U12" s="5">
        <v>8</v>
      </c>
      <c r="V12" s="5" t="s">
        <v>111</v>
      </c>
      <c r="W12" s="6">
        <f t="shared" si="3"/>
        <v>20.125</v>
      </c>
      <c r="X12" s="6">
        <f t="shared" si="4"/>
        <v>6.1923076923076925</v>
      </c>
      <c r="Y12" s="6">
        <f t="shared" si="5"/>
        <v>19.5</v>
      </c>
      <c r="Z12" s="5">
        <v>0</v>
      </c>
      <c r="AA12" s="5">
        <v>0</v>
      </c>
    </row>
    <row r="13" spans="1:27" x14ac:dyDescent="0.25">
      <c r="A13" s="4" t="s">
        <v>28</v>
      </c>
      <c r="B13" s="5">
        <v>2</v>
      </c>
      <c r="C13" s="5">
        <v>2</v>
      </c>
      <c r="D13" s="5">
        <v>1</v>
      </c>
      <c r="E13" s="5">
        <v>2</v>
      </c>
      <c r="F13" s="5">
        <v>2</v>
      </c>
      <c r="G13" s="6">
        <f t="shared" si="0"/>
        <v>1</v>
      </c>
      <c r="H13" s="5">
        <v>3</v>
      </c>
      <c r="I13" s="6">
        <f t="shared" si="1"/>
        <v>66.666666666666657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16</v>
      </c>
      <c r="S13" s="5">
        <f t="shared" si="2"/>
        <v>96</v>
      </c>
      <c r="T13" s="5">
        <f>77+28</f>
        <v>105</v>
      </c>
      <c r="U13" s="5">
        <v>4</v>
      </c>
      <c r="V13" s="5" t="s">
        <v>95</v>
      </c>
      <c r="W13" s="6">
        <f t="shared" si="3"/>
        <v>26.25</v>
      </c>
      <c r="X13" s="6">
        <f t="shared" si="4"/>
        <v>6.5625</v>
      </c>
      <c r="Y13" s="6">
        <f t="shared" si="5"/>
        <v>24</v>
      </c>
      <c r="Z13" s="5">
        <v>0</v>
      </c>
      <c r="AA13" s="5">
        <v>0</v>
      </c>
    </row>
    <row r="14" spans="1:27" x14ac:dyDescent="0.25">
      <c r="A14" s="4" t="s">
        <v>29</v>
      </c>
      <c r="B14" s="5">
        <v>2</v>
      </c>
      <c r="C14" s="5">
        <v>2</v>
      </c>
      <c r="D14" s="5">
        <v>0</v>
      </c>
      <c r="E14" s="5">
        <v>10</v>
      </c>
      <c r="F14" s="5">
        <v>10</v>
      </c>
      <c r="G14" s="6">
        <f t="shared" si="0"/>
        <v>5</v>
      </c>
      <c r="H14" s="5">
        <v>9</v>
      </c>
      <c r="I14" s="6">
        <f t="shared" si="1"/>
        <v>111.11111111111111</v>
      </c>
      <c r="J14" s="5">
        <v>0</v>
      </c>
      <c r="K14" s="5">
        <v>0</v>
      </c>
      <c r="L14" s="5">
        <v>2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8</v>
      </c>
      <c r="S14" s="5">
        <f t="shared" si="2"/>
        <v>48</v>
      </c>
      <c r="T14" s="5">
        <v>38</v>
      </c>
      <c r="U14" s="5">
        <v>3</v>
      </c>
      <c r="V14" s="5" t="s">
        <v>83</v>
      </c>
      <c r="W14" s="6">
        <f t="shared" si="3"/>
        <v>12.666666666666666</v>
      </c>
      <c r="X14" s="6">
        <f t="shared" si="4"/>
        <v>4.75</v>
      </c>
      <c r="Y14" s="6">
        <f t="shared" si="5"/>
        <v>16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6</v>
      </c>
      <c r="S15" s="5">
        <f t="shared" si="2"/>
        <v>36</v>
      </c>
      <c r="T15" s="5">
        <v>50</v>
      </c>
      <c r="U15" s="5">
        <v>1</v>
      </c>
      <c r="V15" s="5" t="s">
        <v>85</v>
      </c>
      <c r="W15" s="6">
        <f t="shared" si="3"/>
        <v>50</v>
      </c>
      <c r="X15" s="6">
        <f t="shared" si="4"/>
        <v>8.3333333333333339</v>
      </c>
      <c r="Y15" s="6">
        <f t="shared" si="5"/>
        <v>36</v>
      </c>
      <c r="Z15" s="5">
        <v>0</v>
      </c>
      <c r="AA15" s="5">
        <v>0</v>
      </c>
    </row>
    <row r="16" spans="1:27" x14ac:dyDescent="0.25">
      <c r="A16" s="4" t="s">
        <v>31</v>
      </c>
      <c r="B16" s="5">
        <v>2</v>
      </c>
      <c r="C16" s="5">
        <v>2</v>
      </c>
      <c r="D16" s="5">
        <v>1</v>
      </c>
      <c r="E16" s="5">
        <f>16+9</f>
        <v>25</v>
      </c>
      <c r="F16" s="5">
        <v>16</v>
      </c>
      <c r="G16" s="6">
        <f t="shared" si="0"/>
        <v>12.5</v>
      </c>
      <c r="H16" s="5">
        <v>15</v>
      </c>
      <c r="I16" s="6">
        <f t="shared" si="1"/>
        <v>166.66666666666669</v>
      </c>
      <c r="J16" s="5">
        <v>0</v>
      </c>
      <c r="K16" s="5">
        <v>0</v>
      </c>
      <c r="L16" s="5">
        <v>1</v>
      </c>
      <c r="M16" s="5">
        <v>2</v>
      </c>
      <c r="N16" s="5">
        <v>0</v>
      </c>
      <c r="O16" s="5">
        <v>0</v>
      </c>
      <c r="P16" s="5">
        <v>1</v>
      </c>
      <c r="Q16" s="4" t="s">
        <v>31</v>
      </c>
      <c r="R16" s="5">
        <v>11</v>
      </c>
      <c r="S16" s="5">
        <f t="shared" si="2"/>
        <v>66</v>
      </c>
      <c r="T16" s="5">
        <f>66+42</f>
        <v>108</v>
      </c>
      <c r="U16" s="5">
        <v>0</v>
      </c>
      <c r="V16" s="5">
        <v>0</v>
      </c>
      <c r="W16" s="6">
        <v>0</v>
      </c>
      <c r="X16" s="6">
        <f t="shared" si="4"/>
        <v>9.8181818181818183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4</v>
      </c>
      <c r="S18" s="5">
        <f t="shared" si="2"/>
        <v>24</v>
      </c>
      <c r="T18" s="5">
        <v>43</v>
      </c>
      <c r="U18" s="5">
        <v>2</v>
      </c>
      <c r="V18" s="5" t="s">
        <v>106</v>
      </c>
      <c r="W18" s="6">
        <f t="shared" si="3"/>
        <v>21.5</v>
      </c>
      <c r="X18" s="6">
        <f t="shared" si="4"/>
        <v>10.75</v>
      </c>
      <c r="Y18" s="6">
        <f t="shared" si="5"/>
        <v>12</v>
      </c>
      <c r="Z18" s="5">
        <v>0</v>
      </c>
      <c r="AA18" s="5">
        <v>0</v>
      </c>
    </row>
    <row r="19" spans="1:27" x14ac:dyDescent="0.25">
      <c r="A19" s="4" t="s">
        <v>34</v>
      </c>
      <c r="B19" s="5">
        <v>2</v>
      </c>
      <c r="C19" s="5">
        <f t="shared" si="6"/>
        <v>2</v>
      </c>
      <c r="D19" s="5">
        <v>0</v>
      </c>
      <c r="E19" s="5">
        <v>8</v>
      </c>
      <c r="F19" s="5">
        <v>8</v>
      </c>
      <c r="G19" s="6">
        <f t="shared" si="0"/>
        <v>4</v>
      </c>
      <c r="H19" s="5">
        <v>15</v>
      </c>
      <c r="I19" s="6">
        <f t="shared" si="1"/>
        <v>53.333333333333336</v>
      </c>
      <c r="J19" s="5">
        <v>0</v>
      </c>
      <c r="K19" s="5">
        <v>0</v>
      </c>
      <c r="L19" s="5">
        <v>1</v>
      </c>
      <c r="M19" s="5">
        <v>0</v>
      </c>
      <c r="N19" s="5">
        <v>1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1</v>
      </c>
      <c r="C20" s="5">
        <v>1</v>
      </c>
      <c r="D20" s="5">
        <v>1</v>
      </c>
      <c r="E20" s="5">
        <v>6</v>
      </c>
      <c r="F20" s="5">
        <v>6</v>
      </c>
      <c r="G20" s="6">
        <f t="shared" si="0"/>
        <v>6</v>
      </c>
      <c r="H20" s="5">
        <v>3</v>
      </c>
      <c r="I20" s="6">
        <f t="shared" si="1"/>
        <v>200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4</v>
      </c>
      <c r="S20" s="5">
        <f t="shared" si="2"/>
        <v>24</v>
      </c>
      <c r="T20" s="5">
        <v>25</v>
      </c>
      <c r="U20" s="5">
        <v>4</v>
      </c>
      <c r="V20" s="5" t="s">
        <v>123</v>
      </c>
      <c r="W20" s="6">
        <f t="shared" si="3"/>
        <v>6.25</v>
      </c>
      <c r="X20" s="6">
        <f t="shared" si="4"/>
        <v>6.25</v>
      </c>
      <c r="Y20" s="6">
        <f t="shared" si="5"/>
        <v>6</v>
      </c>
      <c r="Z20" s="5">
        <v>1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4" t="s">
        <v>36</v>
      </c>
      <c r="R21" s="5">
        <v>4</v>
      </c>
      <c r="S21" s="5">
        <f t="shared" si="2"/>
        <v>24</v>
      </c>
      <c r="T21" s="5">
        <v>12</v>
      </c>
      <c r="U21" s="5">
        <v>6</v>
      </c>
      <c r="V21" s="5" t="s">
        <v>124</v>
      </c>
      <c r="W21" s="6">
        <f t="shared" si="3"/>
        <v>2</v>
      </c>
      <c r="X21" s="6">
        <f t="shared" si="4"/>
        <v>3</v>
      </c>
      <c r="Y21" s="6">
        <f t="shared" si="5"/>
        <v>4</v>
      </c>
      <c r="Z21" s="5">
        <v>0</v>
      </c>
      <c r="AA21" s="5">
        <v>1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30</v>
      </c>
      <c r="F22" s="5">
        <v>30</v>
      </c>
      <c r="G22" s="6">
        <f t="shared" si="0"/>
        <v>30</v>
      </c>
      <c r="H22" s="5">
        <v>17</v>
      </c>
      <c r="I22" s="6">
        <f t="shared" si="1"/>
        <v>176.47058823529412</v>
      </c>
      <c r="J22" s="5">
        <v>0</v>
      </c>
      <c r="K22" s="5">
        <v>0</v>
      </c>
      <c r="L22" s="5">
        <v>3</v>
      </c>
      <c r="M22" s="5">
        <v>2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2</v>
      </c>
      <c r="C24" s="5">
        <v>2</v>
      </c>
      <c r="D24" s="5">
        <v>1</v>
      </c>
      <c r="E24" s="5">
        <v>3</v>
      </c>
      <c r="F24" s="5">
        <v>2</v>
      </c>
      <c r="G24" s="6">
        <f t="shared" si="0"/>
        <v>1.5</v>
      </c>
      <c r="H24" s="5">
        <v>6</v>
      </c>
      <c r="I24" s="6">
        <f t="shared" si="1"/>
        <v>50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4" t="s">
        <v>39</v>
      </c>
      <c r="R24" s="5">
        <v>26</v>
      </c>
      <c r="S24" s="5">
        <f t="shared" si="2"/>
        <v>156</v>
      </c>
      <c r="T24" s="5">
        <v>239</v>
      </c>
      <c r="U24" s="5">
        <v>5</v>
      </c>
      <c r="V24" s="5" t="s">
        <v>110</v>
      </c>
      <c r="W24" s="6">
        <f t="shared" si="3"/>
        <v>47.8</v>
      </c>
      <c r="X24" s="6">
        <f t="shared" si="4"/>
        <v>9.1923076923076916</v>
      </c>
      <c r="Y24" s="6">
        <f t="shared" si="5"/>
        <v>31.2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4</v>
      </c>
      <c r="S25" s="5">
        <f t="shared" si="2"/>
        <v>24</v>
      </c>
      <c r="T25" s="5">
        <v>28</v>
      </c>
      <c r="U25" s="5">
        <v>1</v>
      </c>
      <c r="V25" s="5" t="s">
        <v>100</v>
      </c>
      <c r="W25" s="6">
        <f t="shared" si="3"/>
        <v>28</v>
      </c>
      <c r="X25" s="6">
        <f t="shared" si="4"/>
        <v>7</v>
      </c>
      <c r="Y25" s="6">
        <f t="shared" si="5"/>
        <v>24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8"/>
  <sheetViews>
    <sheetView topLeftCell="I1" workbookViewId="0">
      <selection activeCell="F25" sqref="F25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7</v>
      </c>
      <c r="C2" s="5">
        <v>7</v>
      </c>
      <c r="D2" s="5">
        <v>0</v>
      </c>
      <c r="E2" s="5">
        <f>149+32</f>
        <v>181</v>
      </c>
      <c r="F2" s="5">
        <v>50</v>
      </c>
      <c r="G2" s="6">
        <f>E2/B2</f>
        <v>25.857142857142858</v>
      </c>
      <c r="H2" s="5">
        <f>104+18</f>
        <v>122</v>
      </c>
      <c r="I2" s="6">
        <f>E2/H2*100</f>
        <v>148.36065573770492</v>
      </c>
      <c r="J2" s="5">
        <v>0</v>
      </c>
      <c r="K2" s="5">
        <v>2</v>
      </c>
      <c r="L2" s="5">
        <v>16</v>
      </c>
      <c r="M2" s="5">
        <v>7</v>
      </c>
      <c r="N2" s="5">
        <v>3</v>
      </c>
      <c r="O2" s="5">
        <v>0</v>
      </c>
      <c r="P2" s="5">
        <v>0</v>
      </c>
      <c r="Q2" s="4" t="s">
        <v>17</v>
      </c>
      <c r="R2" s="5">
        <v>6</v>
      </c>
      <c r="S2" s="5">
        <f>R2*6</f>
        <v>36</v>
      </c>
      <c r="T2" s="5">
        <v>55</v>
      </c>
      <c r="U2" s="5">
        <v>1</v>
      </c>
      <c r="V2" s="5" t="s">
        <v>101</v>
      </c>
      <c r="W2" s="6">
        <v>0</v>
      </c>
      <c r="X2" s="6">
        <v>0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18</v>
      </c>
      <c r="C3" s="5">
        <v>18</v>
      </c>
      <c r="D3" s="5">
        <v>2</v>
      </c>
      <c r="E3" s="5">
        <f>384+53</f>
        <v>437</v>
      </c>
      <c r="F3" s="5">
        <v>49</v>
      </c>
      <c r="G3" s="6">
        <f t="shared" ref="G3:G18" si="0">E3/B3</f>
        <v>24.277777777777779</v>
      </c>
      <c r="H3" s="5">
        <f>242+57</f>
        <v>299</v>
      </c>
      <c r="I3" s="6">
        <f t="shared" ref="I3:I18" si="1">E3/H3*100</f>
        <v>146.15384615384613</v>
      </c>
      <c r="J3" s="5">
        <v>0</v>
      </c>
      <c r="K3" s="5">
        <v>0</v>
      </c>
      <c r="L3" s="5">
        <v>37</v>
      </c>
      <c r="M3" s="5">
        <v>25</v>
      </c>
      <c r="N3" s="5">
        <v>7</v>
      </c>
      <c r="O3" s="5">
        <v>0</v>
      </c>
      <c r="P3" s="5">
        <v>0</v>
      </c>
      <c r="Q3" s="4" t="s">
        <v>18</v>
      </c>
      <c r="R3" s="5">
        <v>20</v>
      </c>
      <c r="S3" s="5">
        <f t="shared" ref="S3:S27" si="2">R3*6</f>
        <v>120</v>
      </c>
      <c r="T3" s="5">
        <v>172</v>
      </c>
      <c r="U3" s="5">
        <v>2</v>
      </c>
      <c r="V3" s="5" t="s">
        <v>115</v>
      </c>
      <c r="W3" s="6">
        <f t="shared" ref="W3:W11" si="3">T3/U3</f>
        <v>86</v>
      </c>
      <c r="X3" s="6">
        <f t="shared" ref="X3:X24" si="4">T3/R3</f>
        <v>8.6</v>
      </c>
      <c r="Y3" s="6">
        <f t="shared" ref="Y3:Y11" si="5">S3/U3</f>
        <v>60</v>
      </c>
      <c r="Z3" s="5">
        <v>0</v>
      </c>
      <c r="AA3" s="5">
        <v>0</v>
      </c>
    </row>
    <row r="4" spans="1:27" x14ac:dyDescent="0.25">
      <c r="A4" s="4" t="s">
        <v>19</v>
      </c>
      <c r="B4" s="5">
        <v>2</v>
      </c>
      <c r="C4" s="5">
        <v>2</v>
      </c>
      <c r="D4" s="5">
        <v>0</v>
      </c>
      <c r="E4" s="5">
        <v>37</v>
      </c>
      <c r="F4" s="5">
        <v>33</v>
      </c>
      <c r="G4" s="6">
        <f t="shared" si="0"/>
        <v>18.5</v>
      </c>
      <c r="H4" s="5">
        <v>21</v>
      </c>
      <c r="I4" s="6">
        <f t="shared" si="1"/>
        <v>176.19047619047618</v>
      </c>
      <c r="J4" s="5">
        <v>0</v>
      </c>
      <c r="K4" s="5">
        <v>0</v>
      </c>
      <c r="L4" s="5">
        <v>4</v>
      </c>
      <c r="M4" s="5">
        <v>1</v>
      </c>
      <c r="N4" s="5">
        <v>1</v>
      </c>
      <c r="O4" s="5">
        <v>0</v>
      </c>
      <c r="P4" s="5">
        <v>0</v>
      </c>
      <c r="Q4" s="4" t="s">
        <v>19</v>
      </c>
      <c r="R4" s="5">
        <v>3</v>
      </c>
      <c r="S4" s="5">
        <f t="shared" si="2"/>
        <v>18</v>
      </c>
      <c r="T4" s="5">
        <v>45</v>
      </c>
      <c r="U4" s="5">
        <v>0</v>
      </c>
      <c r="V4" s="5">
        <v>0</v>
      </c>
      <c r="W4" s="6">
        <v>0</v>
      </c>
      <c r="X4" s="6">
        <f t="shared" si="4"/>
        <v>15</v>
      </c>
      <c r="Y4" s="6">
        <v>0</v>
      </c>
      <c r="Z4" s="5">
        <v>0</v>
      </c>
      <c r="AA4" s="5">
        <v>0</v>
      </c>
    </row>
    <row r="5" spans="1:27" x14ac:dyDescent="0.25">
      <c r="A5" s="4" t="s">
        <v>20</v>
      </c>
      <c r="B5" s="5">
        <v>2</v>
      </c>
      <c r="C5" s="5">
        <v>2</v>
      </c>
      <c r="D5" s="5">
        <v>0</v>
      </c>
      <c r="E5" s="5">
        <f>52+64</f>
        <v>116</v>
      </c>
      <c r="F5" s="5">
        <v>64</v>
      </c>
      <c r="G5" s="6">
        <f t="shared" si="0"/>
        <v>58</v>
      </c>
      <c r="H5" s="5">
        <v>70</v>
      </c>
      <c r="I5" s="6">
        <f t="shared" si="1"/>
        <v>165.71428571428572</v>
      </c>
      <c r="J5" s="5">
        <v>0</v>
      </c>
      <c r="K5" s="5">
        <v>2</v>
      </c>
      <c r="L5" s="5">
        <v>13</v>
      </c>
      <c r="M5" s="5">
        <v>4</v>
      </c>
      <c r="N5" s="5">
        <v>0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2</v>
      </c>
      <c r="C7" s="5">
        <v>2</v>
      </c>
      <c r="D7" s="5">
        <v>0</v>
      </c>
      <c r="E7" s="5">
        <v>40</v>
      </c>
      <c r="F7" s="5">
        <v>29</v>
      </c>
      <c r="G7" s="6">
        <f t="shared" si="0"/>
        <v>20</v>
      </c>
      <c r="H7" s="5">
        <v>32</v>
      </c>
      <c r="I7" s="6">
        <f t="shared" si="1"/>
        <v>125</v>
      </c>
      <c r="J7" s="5">
        <v>0</v>
      </c>
      <c r="K7" s="5">
        <v>0</v>
      </c>
      <c r="L7" s="5">
        <v>5</v>
      </c>
      <c r="M7" s="5">
        <v>0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7</v>
      </c>
      <c r="C8" s="5">
        <v>7</v>
      </c>
      <c r="D8" s="5">
        <v>2</v>
      </c>
      <c r="E8" s="5">
        <v>70</v>
      </c>
      <c r="F8" s="5">
        <v>18</v>
      </c>
      <c r="G8" s="6">
        <f t="shared" si="0"/>
        <v>10</v>
      </c>
      <c r="H8" s="5">
        <v>63</v>
      </c>
      <c r="I8" s="6">
        <f t="shared" si="1"/>
        <v>111.11111111111111</v>
      </c>
      <c r="J8" s="5">
        <v>0</v>
      </c>
      <c r="K8" s="5">
        <v>0</v>
      </c>
      <c r="L8" s="5">
        <v>3</v>
      </c>
      <c r="M8" s="5">
        <v>2</v>
      </c>
      <c r="N8" s="5">
        <v>4</v>
      </c>
      <c r="O8" s="5">
        <v>0</v>
      </c>
      <c r="P8" s="5">
        <v>0</v>
      </c>
      <c r="Q8" s="4" t="s">
        <v>23</v>
      </c>
      <c r="R8" s="5">
        <v>9</v>
      </c>
      <c r="S8" s="5">
        <f t="shared" si="2"/>
        <v>54</v>
      </c>
      <c r="T8" s="5">
        <v>80</v>
      </c>
      <c r="U8" s="5">
        <v>1</v>
      </c>
      <c r="V8" s="5" t="s">
        <v>114</v>
      </c>
      <c r="W8" s="6">
        <f t="shared" si="3"/>
        <v>80</v>
      </c>
      <c r="X8" s="6">
        <f t="shared" si="4"/>
        <v>8.8888888888888893</v>
      </c>
      <c r="Y8" s="6">
        <f t="shared" si="5"/>
        <v>54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v>1</v>
      </c>
      <c r="D9" s="5">
        <v>1</v>
      </c>
      <c r="E9" s="5">
        <v>11</v>
      </c>
      <c r="F9" s="5">
        <v>11</v>
      </c>
      <c r="G9" s="6">
        <f t="shared" si="0"/>
        <v>11</v>
      </c>
      <c r="H9" s="5">
        <v>9</v>
      </c>
      <c r="I9" s="6">
        <f t="shared" si="1"/>
        <v>122.22222222222223</v>
      </c>
      <c r="J9" s="5">
        <v>0</v>
      </c>
      <c r="K9" s="5">
        <v>0</v>
      </c>
      <c r="L9" s="5">
        <v>2</v>
      </c>
      <c r="M9" s="5">
        <v>0</v>
      </c>
      <c r="N9" s="5">
        <v>1</v>
      </c>
      <c r="O9" s="5">
        <v>0</v>
      </c>
      <c r="P9" s="5">
        <v>0</v>
      </c>
      <c r="Q9" s="4" t="s">
        <v>24</v>
      </c>
      <c r="R9" s="5">
        <v>2</v>
      </c>
      <c r="S9" s="5">
        <f t="shared" si="2"/>
        <v>12</v>
      </c>
      <c r="T9" s="5">
        <v>20</v>
      </c>
      <c r="U9" s="5">
        <v>0</v>
      </c>
      <c r="V9" s="5">
        <v>0</v>
      </c>
      <c r="W9" s="6">
        <v>0</v>
      </c>
      <c r="X9" s="6">
        <f t="shared" si="4"/>
        <v>10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1</v>
      </c>
      <c r="C10" s="5">
        <v>1</v>
      </c>
      <c r="D10" s="5">
        <v>0</v>
      </c>
      <c r="E10" s="5">
        <v>11</v>
      </c>
      <c r="F10" s="5">
        <v>11</v>
      </c>
      <c r="G10" s="6">
        <f t="shared" si="0"/>
        <v>11</v>
      </c>
      <c r="H10" s="5">
        <v>5</v>
      </c>
      <c r="I10" s="6">
        <f t="shared" si="1"/>
        <v>220.00000000000003</v>
      </c>
      <c r="J10" s="5">
        <v>0</v>
      </c>
      <c r="K10" s="5">
        <v>0</v>
      </c>
      <c r="L10" s="5">
        <v>2</v>
      </c>
      <c r="M10" s="5">
        <v>0</v>
      </c>
      <c r="N10" s="5">
        <v>1</v>
      </c>
      <c r="O10" s="5">
        <v>0</v>
      </c>
      <c r="P10" s="5">
        <v>0</v>
      </c>
      <c r="Q10" s="4" t="s">
        <v>25</v>
      </c>
      <c r="R10" s="5">
        <v>4</v>
      </c>
      <c r="S10" s="5">
        <f t="shared" si="2"/>
        <v>24</v>
      </c>
      <c r="T10" s="5">
        <v>46</v>
      </c>
      <c r="U10" s="5">
        <v>2</v>
      </c>
      <c r="V10" s="5" t="s">
        <v>125</v>
      </c>
      <c r="W10" s="6">
        <f t="shared" si="3"/>
        <v>23</v>
      </c>
      <c r="X10" s="6">
        <f t="shared" si="4"/>
        <v>11.5</v>
      </c>
      <c r="Y10" s="6">
        <f t="shared" si="5"/>
        <v>12</v>
      </c>
      <c r="Z10" s="5">
        <v>0</v>
      </c>
      <c r="AA10" s="5">
        <v>0</v>
      </c>
    </row>
    <row r="11" spans="1:27" x14ac:dyDescent="0.25">
      <c r="A11" s="4" t="s">
        <v>26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6">
        <v>0</v>
      </c>
      <c r="H11" s="5">
        <v>0</v>
      </c>
      <c r="I11" s="6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2</v>
      </c>
      <c r="Q11" s="4" t="s">
        <v>26</v>
      </c>
      <c r="R11" s="5">
        <v>15</v>
      </c>
      <c r="S11" s="5">
        <f t="shared" si="2"/>
        <v>90</v>
      </c>
      <c r="T11" s="5">
        <f>92+26</f>
        <v>118</v>
      </c>
      <c r="U11" s="5">
        <v>4</v>
      </c>
      <c r="V11" s="5" t="s">
        <v>113</v>
      </c>
      <c r="W11" s="6">
        <f t="shared" si="3"/>
        <v>29.5</v>
      </c>
      <c r="X11" s="6">
        <f t="shared" si="4"/>
        <v>7.8666666666666663</v>
      </c>
      <c r="Y11" s="6">
        <f t="shared" si="5"/>
        <v>22.5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12</v>
      </c>
      <c r="S12" s="5">
        <f t="shared" si="2"/>
        <v>72</v>
      </c>
      <c r="T12" s="5">
        <f>57+23</f>
        <v>80</v>
      </c>
      <c r="U12" s="5">
        <v>0</v>
      </c>
      <c r="V12" s="5">
        <v>0</v>
      </c>
      <c r="W12" s="6">
        <v>0</v>
      </c>
      <c r="X12" s="6">
        <f t="shared" si="4"/>
        <v>6.666666666666667</v>
      </c>
      <c r="Y12" s="6">
        <v>0</v>
      </c>
      <c r="Z12" s="5">
        <v>0</v>
      </c>
      <c r="AA12" s="5">
        <v>0</v>
      </c>
    </row>
    <row r="13" spans="1:27" x14ac:dyDescent="0.25">
      <c r="A13" s="4" t="s">
        <v>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6">
        <f t="shared" si="0"/>
        <v>1</v>
      </c>
      <c r="H13" s="5">
        <v>2</v>
      </c>
      <c r="I13" s="6">
        <f t="shared" si="1"/>
        <v>50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12</v>
      </c>
      <c r="S13" s="5">
        <f t="shared" si="2"/>
        <v>72</v>
      </c>
      <c r="T13" s="5">
        <f>57+37</f>
        <v>94</v>
      </c>
      <c r="U13" s="5">
        <v>0</v>
      </c>
      <c r="V13" s="5">
        <v>0</v>
      </c>
      <c r="W13" s="6">
        <v>0</v>
      </c>
      <c r="X13" s="6">
        <f t="shared" si="4"/>
        <v>7.833333333333333</v>
      </c>
      <c r="Y13" s="6">
        <v>0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0</v>
      </c>
      <c r="S14" s="5">
        <f t="shared" si="2"/>
        <v>0</v>
      </c>
      <c r="T14" s="5">
        <v>0</v>
      </c>
      <c r="U14" s="5">
        <v>0</v>
      </c>
      <c r="V14" s="5">
        <v>0</v>
      </c>
      <c r="W14" s="6">
        <v>0</v>
      </c>
      <c r="X14" s="6">
        <v>0</v>
      </c>
      <c r="Y14" s="6">
        <v>0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1</v>
      </c>
      <c r="C16" s="5">
        <v>1</v>
      </c>
      <c r="D16" s="5">
        <v>1</v>
      </c>
      <c r="E16" s="5">
        <v>18</v>
      </c>
      <c r="F16" s="5">
        <v>18</v>
      </c>
      <c r="G16" s="6">
        <f t="shared" si="0"/>
        <v>18</v>
      </c>
      <c r="H16" s="5">
        <v>11</v>
      </c>
      <c r="I16" s="6">
        <f t="shared" si="1"/>
        <v>163.63636363636365</v>
      </c>
      <c r="J16" s="5">
        <v>0</v>
      </c>
      <c r="K16" s="5">
        <v>0</v>
      </c>
      <c r="L16" s="5">
        <v>0</v>
      </c>
      <c r="M16" s="5">
        <v>2</v>
      </c>
      <c r="N16" s="5">
        <v>0</v>
      </c>
      <c r="O16" s="5">
        <v>0</v>
      </c>
      <c r="P16" s="5">
        <v>0</v>
      </c>
      <c r="Q16" s="4" t="s">
        <v>31</v>
      </c>
      <c r="R16" s="5">
        <v>2</v>
      </c>
      <c r="S16" s="5">
        <f t="shared" si="2"/>
        <v>12</v>
      </c>
      <c r="T16" s="5">
        <v>11</v>
      </c>
      <c r="U16" s="5">
        <v>0</v>
      </c>
      <c r="V16" s="5">
        <v>0</v>
      </c>
      <c r="W16" s="6">
        <v>0</v>
      </c>
      <c r="X16" s="6">
        <f t="shared" si="4"/>
        <v>5.5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2</v>
      </c>
      <c r="C18" s="5">
        <v>2</v>
      </c>
      <c r="D18" s="5">
        <v>1</v>
      </c>
      <c r="E18" s="5">
        <v>1</v>
      </c>
      <c r="F18" s="5">
        <v>1</v>
      </c>
      <c r="G18" s="6">
        <f t="shared" si="0"/>
        <v>0.5</v>
      </c>
      <c r="H18" s="5">
        <v>3</v>
      </c>
      <c r="I18" s="6">
        <f t="shared" si="1"/>
        <v>33.333333333333329</v>
      </c>
      <c r="J18" s="5">
        <v>0</v>
      </c>
      <c r="K18" s="5">
        <v>0</v>
      </c>
      <c r="L18" s="5">
        <v>0</v>
      </c>
      <c r="M18" s="5">
        <v>0</v>
      </c>
      <c r="N18" s="5">
        <v>2</v>
      </c>
      <c r="O18" s="5">
        <v>0</v>
      </c>
      <c r="P18" s="5">
        <v>0</v>
      </c>
      <c r="Q18" s="4" t="s">
        <v>33</v>
      </c>
      <c r="R18" s="5">
        <v>13</v>
      </c>
      <c r="S18" s="5">
        <f t="shared" si="2"/>
        <v>78</v>
      </c>
      <c r="T18" s="5">
        <v>124</v>
      </c>
      <c r="U18" s="5">
        <v>0</v>
      </c>
      <c r="V18" s="5">
        <v>0</v>
      </c>
      <c r="W18" s="6">
        <v>0</v>
      </c>
      <c r="X18" s="6">
        <f t="shared" si="4"/>
        <v>9.5384615384615383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1</v>
      </c>
      <c r="S20" s="5">
        <f t="shared" si="2"/>
        <v>6</v>
      </c>
      <c r="T20" s="5">
        <v>14</v>
      </c>
      <c r="U20" s="5">
        <v>0</v>
      </c>
      <c r="V20" s="5">
        <v>0</v>
      </c>
      <c r="W20" s="6">
        <v>0</v>
      </c>
      <c r="X20" s="6">
        <f t="shared" si="4"/>
        <v>14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6">
        <v>0</v>
      </c>
      <c r="H22" s="5">
        <v>0</v>
      </c>
      <c r="I22" s="6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2</v>
      </c>
      <c r="O24" s="5">
        <v>0</v>
      </c>
      <c r="P24" s="5">
        <v>0</v>
      </c>
      <c r="Q24" s="4" t="s">
        <v>39</v>
      </c>
      <c r="R24" s="5">
        <v>8</v>
      </c>
      <c r="S24" s="5">
        <f t="shared" si="2"/>
        <v>48</v>
      </c>
      <c r="T24" s="5">
        <v>80</v>
      </c>
      <c r="U24" s="5">
        <v>0</v>
      </c>
      <c r="V24" s="5">
        <v>0</v>
      </c>
      <c r="W24" s="6">
        <v>0</v>
      </c>
      <c r="X24" s="6">
        <f t="shared" si="4"/>
        <v>10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  <row r="28" spans="1:27" x14ac:dyDescent="0.25">
      <c r="I28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topLeftCell="I1" workbookViewId="0">
      <selection activeCell="F25" sqref="F25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f>54+13</f>
        <v>67</v>
      </c>
      <c r="C2" s="5">
        <v>67</v>
      </c>
      <c r="D2" s="5">
        <v>11</v>
      </c>
      <c r="E2" s="5">
        <f>1509+336</f>
        <v>1845</v>
      </c>
      <c r="F2" s="5">
        <v>97</v>
      </c>
      <c r="G2" s="6">
        <f>E2/B2</f>
        <v>27.53731343283582</v>
      </c>
      <c r="H2" s="5">
        <f>1130+261</f>
        <v>1391</v>
      </c>
      <c r="I2" s="6">
        <f>E2/H2*100</f>
        <v>132.63838964773544</v>
      </c>
      <c r="J2" s="5">
        <v>0</v>
      </c>
      <c r="K2" s="5">
        <v>14</v>
      </c>
      <c r="L2" s="5">
        <f>126+38</f>
        <v>164</v>
      </c>
      <c r="M2" s="5">
        <v>70</v>
      </c>
      <c r="N2" s="5">
        <v>28</v>
      </c>
      <c r="O2" s="5">
        <v>0</v>
      </c>
      <c r="P2" s="5">
        <v>4</v>
      </c>
      <c r="Q2" s="4" t="s">
        <v>17</v>
      </c>
      <c r="R2" s="5">
        <v>7</v>
      </c>
      <c r="S2" s="5">
        <f>R2*6</f>
        <v>42</v>
      </c>
      <c r="T2" s="5">
        <v>80</v>
      </c>
      <c r="U2" s="5">
        <v>0</v>
      </c>
      <c r="V2" s="5">
        <v>0</v>
      </c>
      <c r="W2" s="6">
        <v>0</v>
      </c>
      <c r="X2" s="6">
        <f>T2/R2</f>
        <v>11.428571428571429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19</v>
      </c>
      <c r="C3" s="5">
        <v>19</v>
      </c>
      <c r="D3" s="5">
        <v>3</v>
      </c>
      <c r="E3" s="5">
        <f>351+65</f>
        <v>416</v>
      </c>
      <c r="F3" s="5">
        <v>66</v>
      </c>
      <c r="G3" s="6">
        <f t="shared" ref="G3:G23" si="0">E3/B3</f>
        <v>21.894736842105264</v>
      </c>
      <c r="H3" s="5">
        <f>275+44</f>
        <v>319</v>
      </c>
      <c r="I3" s="6">
        <f t="shared" ref="I3:I23" si="1">E3/H3*100</f>
        <v>130.40752351097177</v>
      </c>
      <c r="J3" s="5">
        <v>0</v>
      </c>
      <c r="K3" s="5">
        <v>4</v>
      </c>
      <c r="L3" s="5">
        <f>29+5</f>
        <v>34</v>
      </c>
      <c r="M3" s="5">
        <v>20</v>
      </c>
      <c r="N3" s="5">
        <v>5</v>
      </c>
      <c r="O3" s="5">
        <v>0</v>
      </c>
      <c r="P3" s="5">
        <v>3</v>
      </c>
      <c r="Q3" s="4" t="s">
        <v>18</v>
      </c>
      <c r="R3" s="5">
        <v>23</v>
      </c>
      <c r="S3" s="5">
        <f t="shared" ref="S3:S27" si="2">R3*6</f>
        <v>138</v>
      </c>
      <c r="T3" s="5">
        <v>157</v>
      </c>
      <c r="U3" s="5">
        <v>10</v>
      </c>
      <c r="V3" s="15" t="s">
        <v>63</v>
      </c>
      <c r="W3" s="6">
        <f t="shared" ref="W3:W25" si="3">T3/U3</f>
        <v>15.7</v>
      </c>
      <c r="X3" s="6">
        <f t="shared" ref="X3:X25" si="4">T3/R3</f>
        <v>6.8260869565217392</v>
      </c>
      <c r="Y3" s="6">
        <f t="shared" ref="Y3:Y25" si="5">S3/U3</f>
        <v>13.8</v>
      </c>
      <c r="Z3" s="5">
        <v>1</v>
      </c>
      <c r="AA3" s="5">
        <v>0</v>
      </c>
    </row>
    <row r="4" spans="1:27" x14ac:dyDescent="0.25">
      <c r="A4" s="4" t="s">
        <v>19</v>
      </c>
      <c r="B4" s="5">
        <f>15+14</f>
        <v>29</v>
      </c>
      <c r="C4" s="5">
        <v>29</v>
      </c>
      <c r="D4" s="5">
        <v>13</v>
      </c>
      <c r="E4" s="5">
        <f>220+277</f>
        <v>497</v>
      </c>
      <c r="F4" s="5">
        <v>61</v>
      </c>
      <c r="G4" s="6">
        <f t="shared" si="0"/>
        <v>17.137931034482758</v>
      </c>
      <c r="H4" s="5">
        <f>148+162</f>
        <v>310</v>
      </c>
      <c r="I4" s="6">
        <f t="shared" si="1"/>
        <v>160.32258064516128</v>
      </c>
      <c r="J4" s="5">
        <v>0</v>
      </c>
      <c r="K4" s="5">
        <v>1</v>
      </c>
      <c r="L4" s="5">
        <f>18+20</f>
        <v>38</v>
      </c>
      <c r="M4" s="5">
        <f>13+15</f>
        <v>28</v>
      </c>
      <c r="N4" s="5">
        <f>11+8</f>
        <v>19</v>
      </c>
      <c r="O4" s="5">
        <v>0</v>
      </c>
      <c r="P4" s="5">
        <v>2</v>
      </c>
      <c r="Q4" s="4" t="s">
        <v>19</v>
      </c>
      <c r="R4" s="5">
        <f>44+24</f>
        <v>68</v>
      </c>
      <c r="S4" s="5">
        <f t="shared" si="2"/>
        <v>408</v>
      </c>
      <c r="T4" s="5">
        <f>256+416</f>
        <v>672</v>
      </c>
      <c r="U4" s="5">
        <v>24</v>
      </c>
      <c r="V4" s="5" t="s">
        <v>126</v>
      </c>
      <c r="W4" s="6">
        <f t="shared" si="3"/>
        <v>28</v>
      </c>
      <c r="X4" s="6">
        <f t="shared" si="4"/>
        <v>9.882352941176471</v>
      </c>
      <c r="Y4" s="6">
        <f t="shared" si="5"/>
        <v>17</v>
      </c>
      <c r="Z4" s="5">
        <v>0</v>
      </c>
      <c r="AA4" s="5">
        <v>0</v>
      </c>
    </row>
    <row r="5" spans="1:27" x14ac:dyDescent="0.25">
      <c r="A5" s="4" t="s">
        <v>20</v>
      </c>
      <c r="B5" s="5">
        <v>8</v>
      </c>
      <c r="C5" s="5">
        <v>8</v>
      </c>
      <c r="D5" s="5">
        <v>1</v>
      </c>
      <c r="E5" s="5">
        <v>309</v>
      </c>
      <c r="F5" s="5">
        <v>83</v>
      </c>
      <c r="G5" s="6">
        <f t="shared" si="0"/>
        <v>38.625</v>
      </c>
      <c r="H5" s="5">
        <v>217</v>
      </c>
      <c r="I5" s="6">
        <f t="shared" si="1"/>
        <v>142.39631336405529</v>
      </c>
      <c r="J5" s="5">
        <v>0</v>
      </c>
      <c r="K5" s="5">
        <v>2</v>
      </c>
      <c r="L5" s="5">
        <v>27</v>
      </c>
      <c r="M5" s="5">
        <v>13</v>
      </c>
      <c r="N5" s="5">
        <v>15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10</v>
      </c>
      <c r="C7" s="5">
        <v>10</v>
      </c>
      <c r="D7" s="5">
        <v>0</v>
      </c>
      <c r="E7" s="5">
        <f>11+151</f>
        <v>162</v>
      </c>
      <c r="F7" s="5">
        <v>44</v>
      </c>
      <c r="G7" s="6">
        <f t="shared" si="0"/>
        <v>16.2</v>
      </c>
      <c r="H7" s="5">
        <f>14+101</f>
        <v>115</v>
      </c>
      <c r="I7" s="6">
        <f t="shared" si="1"/>
        <v>140.86956521739131</v>
      </c>
      <c r="J7" s="5">
        <v>0</v>
      </c>
      <c r="K7" s="5">
        <v>0</v>
      </c>
      <c r="L7" s="5">
        <v>14</v>
      </c>
      <c r="M7" s="5">
        <v>8</v>
      </c>
      <c r="N7" s="5">
        <v>6</v>
      </c>
      <c r="O7" s="5">
        <v>1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66</v>
      </c>
      <c r="C8" s="5">
        <v>66</v>
      </c>
      <c r="D8" s="5">
        <v>14</v>
      </c>
      <c r="E8" s="5">
        <f>1244+212</f>
        <v>1456</v>
      </c>
      <c r="F8" s="5">
        <v>87</v>
      </c>
      <c r="G8" s="6">
        <f t="shared" si="0"/>
        <v>22.060606060606062</v>
      </c>
      <c r="H8" s="5">
        <f>786+110</f>
        <v>896</v>
      </c>
      <c r="I8" s="6">
        <f t="shared" si="1"/>
        <v>162.5</v>
      </c>
      <c r="J8" s="5">
        <v>0</v>
      </c>
      <c r="K8" s="5">
        <v>7</v>
      </c>
      <c r="L8" s="5">
        <v>97</v>
      </c>
      <c r="M8" s="5">
        <f>82+16</f>
        <v>98</v>
      </c>
      <c r="N8" s="5">
        <v>40</v>
      </c>
      <c r="O8" s="5">
        <v>0</v>
      </c>
      <c r="P8" s="5">
        <v>7</v>
      </c>
      <c r="Q8" s="4" t="s">
        <v>23</v>
      </c>
      <c r="R8" s="5">
        <v>99</v>
      </c>
      <c r="S8" s="5">
        <f t="shared" si="2"/>
        <v>594</v>
      </c>
      <c r="T8" s="5">
        <v>902</v>
      </c>
      <c r="U8" s="5">
        <v>28</v>
      </c>
      <c r="V8" s="5" t="s">
        <v>71</v>
      </c>
      <c r="W8" s="6">
        <f t="shared" si="3"/>
        <v>32.214285714285715</v>
      </c>
      <c r="X8" s="6">
        <f t="shared" si="4"/>
        <v>9.1111111111111107</v>
      </c>
      <c r="Y8" s="6">
        <f t="shared" si="5"/>
        <v>21.214285714285715</v>
      </c>
      <c r="Z8" s="5">
        <v>1</v>
      </c>
      <c r="AA8" s="5">
        <v>0</v>
      </c>
    </row>
    <row r="9" spans="1:27" x14ac:dyDescent="0.25">
      <c r="A9" s="4" t="s">
        <v>24</v>
      </c>
      <c r="B9" s="5">
        <v>5</v>
      </c>
      <c r="C9" s="5">
        <f>B9</f>
        <v>5</v>
      </c>
      <c r="D9" s="5">
        <v>0</v>
      </c>
      <c r="E9" s="5">
        <v>49</v>
      </c>
      <c r="F9" s="5">
        <v>21</v>
      </c>
      <c r="G9" s="6">
        <f t="shared" si="0"/>
        <v>9.8000000000000007</v>
      </c>
      <c r="H9" s="5">
        <v>42</v>
      </c>
      <c r="I9" s="6">
        <f t="shared" si="1"/>
        <v>116.66666666666667</v>
      </c>
      <c r="J9" s="5">
        <v>0</v>
      </c>
      <c r="K9" s="5">
        <v>0</v>
      </c>
      <c r="L9" s="5">
        <v>6</v>
      </c>
      <c r="M9" s="5">
        <v>0</v>
      </c>
      <c r="N9" s="5">
        <v>2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f>7+12</f>
        <v>19</v>
      </c>
      <c r="C10" s="5">
        <f t="shared" ref="C10:C19" si="6">B10</f>
        <v>19</v>
      </c>
      <c r="D10" s="5">
        <v>3</v>
      </c>
      <c r="E10" s="5">
        <f>108+244</f>
        <v>352</v>
      </c>
      <c r="F10" s="5">
        <v>42</v>
      </c>
      <c r="G10" s="6">
        <f t="shared" si="0"/>
        <v>18.526315789473685</v>
      </c>
      <c r="H10" s="5">
        <f>178+71</f>
        <v>249</v>
      </c>
      <c r="I10" s="6">
        <f t="shared" si="1"/>
        <v>141.36546184738955</v>
      </c>
      <c r="J10" s="5">
        <v>0</v>
      </c>
      <c r="K10" s="5">
        <v>0</v>
      </c>
      <c r="L10" s="5">
        <f>12+24</f>
        <v>36</v>
      </c>
      <c r="M10" s="5">
        <f>3+9</f>
        <v>12</v>
      </c>
      <c r="N10" s="5">
        <v>8</v>
      </c>
      <c r="O10" s="5">
        <v>0</v>
      </c>
      <c r="P10" s="5">
        <v>0</v>
      </c>
      <c r="Q10" s="4" t="s">
        <v>25</v>
      </c>
      <c r="R10" s="5">
        <f>27+39</f>
        <v>66</v>
      </c>
      <c r="S10" s="5">
        <f t="shared" si="2"/>
        <v>396</v>
      </c>
      <c r="T10" s="5">
        <f>197+296</f>
        <v>493</v>
      </c>
      <c r="U10" s="5">
        <v>18</v>
      </c>
      <c r="V10" s="5" t="s">
        <v>75</v>
      </c>
      <c r="W10" s="6">
        <f t="shared" si="3"/>
        <v>27.388888888888889</v>
      </c>
      <c r="X10" s="6">
        <f t="shared" si="4"/>
        <v>7.4696969696969697</v>
      </c>
      <c r="Y10" s="6">
        <f t="shared" si="5"/>
        <v>22</v>
      </c>
      <c r="Z10" s="5">
        <v>0</v>
      </c>
      <c r="AA10" s="5">
        <v>0</v>
      </c>
    </row>
    <row r="11" spans="1:27" x14ac:dyDescent="0.25">
      <c r="A11" s="4" t="s">
        <v>26</v>
      </c>
      <c r="B11" s="5">
        <v>7</v>
      </c>
      <c r="C11" s="5">
        <f t="shared" si="6"/>
        <v>7</v>
      </c>
      <c r="D11" s="5">
        <v>3</v>
      </c>
      <c r="E11" s="5">
        <v>22</v>
      </c>
      <c r="F11" s="5">
        <v>8</v>
      </c>
      <c r="G11" s="6">
        <f t="shared" si="0"/>
        <v>3.1428571428571428</v>
      </c>
      <c r="H11" s="5">
        <v>15</v>
      </c>
      <c r="I11" s="6">
        <f t="shared" si="1"/>
        <v>146.66666666666666</v>
      </c>
      <c r="J11" s="5">
        <v>0</v>
      </c>
      <c r="K11" s="5">
        <v>0</v>
      </c>
      <c r="L11" s="5">
        <v>1</v>
      </c>
      <c r="M11" s="5">
        <v>2</v>
      </c>
      <c r="N11" s="5">
        <v>7</v>
      </c>
      <c r="O11" s="5">
        <v>0</v>
      </c>
      <c r="P11" s="5">
        <v>2</v>
      </c>
      <c r="Q11" s="4" t="s">
        <v>26</v>
      </c>
      <c r="R11" s="5">
        <f>194+16</f>
        <v>210</v>
      </c>
      <c r="S11" s="5">
        <f t="shared" si="2"/>
        <v>1260</v>
      </c>
      <c r="T11" s="5">
        <f>1355+55</f>
        <v>1410</v>
      </c>
      <c r="U11" s="5">
        <v>83</v>
      </c>
      <c r="V11" s="5" t="s">
        <v>82</v>
      </c>
      <c r="W11" s="6">
        <f t="shared" si="3"/>
        <v>16.987951807228917</v>
      </c>
      <c r="X11" s="6">
        <f t="shared" si="4"/>
        <v>6.7142857142857144</v>
      </c>
      <c r="Y11" s="6">
        <f t="shared" si="5"/>
        <v>15.180722891566266</v>
      </c>
      <c r="Z11" s="5">
        <v>4</v>
      </c>
      <c r="AA11" s="5">
        <v>0</v>
      </c>
    </row>
    <row r="12" spans="1:27" x14ac:dyDescent="0.25">
      <c r="A12" s="4" t="s">
        <v>27</v>
      </c>
      <c r="B12" s="5">
        <v>3</v>
      </c>
      <c r="C12" s="5">
        <f t="shared" si="6"/>
        <v>3</v>
      </c>
      <c r="D12" s="5">
        <v>3</v>
      </c>
      <c r="E12" s="5">
        <f>16+6</f>
        <v>22</v>
      </c>
      <c r="F12" s="5">
        <v>16</v>
      </c>
      <c r="G12" s="6">
        <f t="shared" si="0"/>
        <v>7.333333333333333</v>
      </c>
      <c r="H12" s="5">
        <f>13+5</f>
        <v>18</v>
      </c>
      <c r="I12" s="6">
        <f t="shared" si="1"/>
        <v>122.22222222222223</v>
      </c>
      <c r="J12" s="5">
        <v>0</v>
      </c>
      <c r="K12" s="5">
        <v>0</v>
      </c>
      <c r="L12" s="5">
        <v>1</v>
      </c>
      <c r="M12" s="5">
        <v>1</v>
      </c>
      <c r="N12" s="5">
        <v>5</v>
      </c>
      <c r="O12" s="5">
        <v>0</v>
      </c>
      <c r="P12" s="5">
        <v>1</v>
      </c>
      <c r="Q12" s="4" t="s">
        <v>27</v>
      </c>
      <c r="R12" s="5">
        <f>79+56</f>
        <v>135</v>
      </c>
      <c r="S12" s="5">
        <f t="shared" si="2"/>
        <v>810</v>
      </c>
      <c r="T12" s="5">
        <f>629+458</f>
        <v>1087</v>
      </c>
      <c r="U12" s="5">
        <f>18+17</f>
        <v>35</v>
      </c>
      <c r="V12" s="5" t="s">
        <v>95</v>
      </c>
      <c r="W12" s="6">
        <f t="shared" si="3"/>
        <v>31.057142857142857</v>
      </c>
      <c r="X12" s="6">
        <f t="shared" si="4"/>
        <v>8.0518518518518523</v>
      </c>
      <c r="Y12" s="6">
        <f t="shared" si="5"/>
        <v>23.142857142857142</v>
      </c>
      <c r="Z12" s="5">
        <v>0</v>
      </c>
      <c r="AA12" s="5">
        <v>0</v>
      </c>
    </row>
    <row r="13" spans="1:27" x14ac:dyDescent="0.25">
      <c r="A13" s="4" t="s">
        <v>28</v>
      </c>
      <c r="B13" s="5">
        <v>9</v>
      </c>
      <c r="C13" s="5">
        <f t="shared" si="6"/>
        <v>9</v>
      </c>
      <c r="D13" s="5">
        <f>4+3</f>
        <v>7</v>
      </c>
      <c r="E13" s="5">
        <f>28+26</f>
        <v>54</v>
      </c>
      <c r="F13" s="5">
        <v>14</v>
      </c>
      <c r="G13" s="6">
        <f t="shared" si="0"/>
        <v>6</v>
      </c>
      <c r="H13" s="5">
        <f>19+17</f>
        <v>36</v>
      </c>
      <c r="I13" s="6">
        <f t="shared" si="1"/>
        <v>150</v>
      </c>
      <c r="J13" s="5">
        <v>0</v>
      </c>
      <c r="K13" s="5">
        <v>0</v>
      </c>
      <c r="L13" s="5">
        <v>3</v>
      </c>
      <c r="M13" s="5">
        <v>4</v>
      </c>
      <c r="N13" s="5">
        <v>0</v>
      </c>
      <c r="O13" s="5">
        <v>0</v>
      </c>
      <c r="P13" s="5">
        <v>0</v>
      </c>
      <c r="Q13" s="4" t="s">
        <v>28</v>
      </c>
      <c r="R13" s="12">
        <v>100</v>
      </c>
      <c r="S13" s="5">
        <f t="shared" si="2"/>
        <v>600</v>
      </c>
      <c r="T13" s="5">
        <f>673+280</f>
        <v>953</v>
      </c>
      <c r="U13" s="5">
        <f>26+11</f>
        <v>37</v>
      </c>
      <c r="V13" s="5" t="s">
        <v>97</v>
      </c>
      <c r="W13" s="6">
        <f t="shared" si="3"/>
        <v>25.756756756756758</v>
      </c>
      <c r="X13" s="6">
        <f t="shared" si="4"/>
        <v>9.5299999999999994</v>
      </c>
      <c r="Y13" s="6">
        <f t="shared" si="5"/>
        <v>16.216216216216218</v>
      </c>
      <c r="Z13" s="5">
        <v>1</v>
      </c>
      <c r="AA13" s="5">
        <v>0</v>
      </c>
    </row>
    <row r="14" spans="1:27" x14ac:dyDescent="0.25">
      <c r="A14" s="4" t="s">
        <v>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6">
        <f t="shared" si="0"/>
        <v>1</v>
      </c>
      <c r="H14" s="5">
        <v>1</v>
      </c>
      <c r="I14" s="6">
        <f t="shared" si="1"/>
        <v>100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4" t="s">
        <v>29</v>
      </c>
      <c r="R14" s="5">
        <v>19</v>
      </c>
      <c r="S14" s="5">
        <f t="shared" si="2"/>
        <v>114</v>
      </c>
      <c r="T14" s="5">
        <v>139</v>
      </c>
      <c r="U14" s="5">
        <v>1</v>
      </c>
      <c r="V14" s="5" t="s">
        <v>107</v>
      </c>
      <c r="W14" s="6">
        <f t="shared" si="3"/>
        <v>139</v>
      </c>
      <c r="X14" s="6">
        <f t="shared" si="4"/>
        <v>7.3157894736842106</v>
      </c>
      <c r="Y14" s="6">
        <f t="shared" si="5"/>
        <v>114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4</v>
      </c>
      <c r="C16" s="5">
        <f t="shared" si="6"/>
        <v>4</v>
      </c>
      <c r="D16" s="5">
        <v>1</v>
      </c>
      <c r="E16" s="5">
        <f>20+18</f>
        <v>38</v>
      </c>
      <c r="F16" s="5">
        <v>20</v>
      </c>
      <c r="G16" s="6">
        <f t="shared" si="0"/>
        <v>9.5</v>
      </c>
      <c r="H16" s="5">
        <f>10+18</f>
        <v>28</v>
      </c>
      <c r="I16" s="6">
        <f t="shared" si="1"/>
        <v>135.71428571428572</v>
      </c>
      <c r="J16" s="5">
        <v>0</v>
      </c>
      <c r="K16" s="5">
        <v>0</v>
      </c>
      <c r="L16" s="5">
        <v>4</v>
      </c>
      <c r="M16" s="5">
        <v>1</v>
      </c>
      <c r="N16" s="5">
        <v>4</v>
      </c>
      <c r="O16" s="5">
        <v>0</v>
      </c>
      <c r="P16" s="5">
        <v>0</v>
      </c>
      <c r="Q16" s="4" t="s">
        <v>31</v>
      </c>
      <c r="R16" s="5">
        <v>7</v>
      </c>
      <c r="S16" s="5">
        <f t="shared" si="2"/>
        <v>42</v>
      </c>
      <c r="T16" s="5">
        <f>18+65</f>
        <v>83</v>
      </c>
      <c r="U16" s="5">
        <v>1</v>
      </c>
      <c r="V16" s="5" t="s">
        <v>116</v>
      </c>
      <c r="W16" s="6">
        <f t="shared" si="3"/>
        <v>83</v>
      </c>
      <c r="X16" s="6">
        <f t="shared" si="4"/>
        <v>11.857142857142858</v>
      </c>
      <c r="Y16" s="6">
        <f t="shared" si="5"/>
        <v>42</v>
      </c>
      <c r="Z16" s="5">
        <v>0</v>
      </c>
      <c r="AA16" s="5">
        <v>0</v>
      </c>
    </row>
    <row r="17" spans="1:27" x14ac:dyDescent="0.25">
      <c r="A17" s="4" t="s">
        <v>32</v>
      </c>
      <c r="B17" s="5">
        <v>1</v>
      </c>
      <c r="C17" s="5">
        <v>1</v>
      </c>
      <c r="D17" s="5">
        <v>0</v>
      </c>
      <c r="E17" s="5">
        <v>15</v>
      </c>
      <c r="F17" s="5">
        <v>15</v>
      </c>
      <c r="G17" s="6">
        <f t="shared" si="0"/>
        <v>15</v>
      </c>
      <c r="H17" s="5">
        <v>13</v>
      </c>
      <c r="I17" s="6">
        <f t="shared" si="1"/>
        <v>115.38461538461537</v>
      </c>
      <c r="J17" s="5">
        <v>0</v>
      </c>
      <c r="K17" s="5">
        <v>0</v>
      </c>
      <c r="L17" s="5">
        <v>1</v>
      </c>
      <c r="M17" s="5">
        <v>1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10</v>
      </c>
      <c r="C19" s="5">
        <f t="shared" si="6"/>
        <v>10</v>
      </c>
      <c r="D19" s="5">
        <v>2</v>
      </c>
      <c r="E19" s="5">
        <v>143</v>
      </c>
      <c r="F19" s="5">
        <v>59</v>
      </c>
      <c r="G19" s="6">
        <f t="shared" si="0"/>
        <v>14.3</v>
      </c>
      <c r="H19" s="5">
        <v>92</v>
      </c>
      <c r="I19" s="6">
        <f t="shared" si="1"/>
        <v>155.43478260869566</v>
      </c>
      <c r="J19" s="5">
        <v>0</v>
      </c>
      <c r="K19" s="5">
        <v>1</v>
      </c>
      <c r="L19" s="5">
        <v>19</v>
      </c>
      <c r="M19" s="5">
        <v>4</v>
      </c>
      <c r="N19" s="5">
        <v>1</v>
      </c>
      <c r="O19" s="5">
        <v>2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3</v>
      </c>
      <c r="C20" s="5">
        <v>3</v>
      </c>
      <c r="D20" s="5">
        <v>2</v>
      </c>
      <c r="E20" s="5">
        <v>14</v>
      </c>
      <c r="F20" s="5">
        <v>8</v>
      </c>
      <c r="G20" s="6">
        <f t="shared" si="0"/>
        <v>4.666666666666667</v>
      </c>
      <c r="H20" s="5">
        <v>10</v>
      </c>
      <c r="I20" s="6">
        <f t="shared" si="1"/>
        <v>140</v>
      </c>
      <c r="J20" s="5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23</v>
      </c>
      <c r="S20" s="5">
        <f t="shared" si="2"/>
        <v>138</v>
      </c>
      <c r="T20" s="5">
        <v>203</v>
      </c>
      <c r="U20" s="5">
        <v>7</v>
      </c>
      <c r="V20" s="5" t="s">
        <v>75</v>
      </c>
      <c r="W20" s="6">
        <f t="shared" si="3"/>
        <v>29</v>
      </c>
      <c r="X20" s="6">
        <f t="shared" si="4"/>
        <v>8.8260869565217384</v>
      </c>
      <c r="Y20" s="6">
        <f t="shared" si="5"/>
        <v>19.714285714285715</v>
      </c>
      <c r="Z20" s="5">
        <v>0</v>
      </c>
      <c r="AA20" s="5">
        <v>0</v>
      </c>
    </row>
    <row r="21" spans="1:27" x14ac:dyDescent="0.25">
      <c r="A21" s="4" t="s">
        <v>36</v>
      </c>
      <c r="B21" s="5">
        <v>1</v>
      </c>
      <c r="C21" s="5">
        <v>1</v>
      </c>
      <c r="D21" s="5">
        <v>1</v>
      </c>
      <c r="E21" s="5">
        <v>15</v>
      </c>
      <c r="F21" s="5">
        <v>15</v>
      </c>
      <c r="G21" s="6">
        <f t="shared" si="0"/>
        <v>15</v>
      </c>
      <c r="H21" s="5">
        <v>13</v>
      </c>
      <c r="I21" s="6">
        <f t="shared" si="1"/>
        <v>115.38461538461537</v>
      </c>
      <c r="J21" s="5">
        <v>0</v>
      </c>
      <c r="K21" s="5">
        <v>0</v>
      </c>
      <c r="L21" s="5">
        <v>2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5</v>
      </c>
      <c r="S21" s="5">
        <f t="shared" si="2"/>
        <v>30</v>
      </c>
      <c r="T21" s="5">
        <v>77</v>
      </c>
      <c r="U21" s="5">
        <v>0</v>
      </c>
      <c r="V21" s="5">
        <v>0</v>
      </c>
      <c r="W21" s="6">
        <v>0</v>
      </c>
      <c r="X21" s="6">
        <f t="shared" si="4"/>
        <v>15.4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8</v>
      </c>
      <c r="C22" s="5">
        <v>8</v>
      </c>
      <c r="D22" s="5">
        <v>0</v>
      </c>
      <c r="E22" s="5">
        <v>255</v>
      </c>
      <c r="F22" s="5">
        <v>75</v>
      </c>
      <c r="G22" s="6">
        <f t="shared" si="0"/>
        <v>31.875</v>
      </c>
      <c r="H22" s="5">
        <v>164</v>
      </c>
      <c r="I22" s="6">
        <f t="shared" si="1"/>
        <v>155.48780487804879</v>
      </c>
      <c r="J22" s="5">
        <v>0</v>
      </c>
      <c r="K22" s="5">
        <v>3</v>
      </c>
      <c r="L22" s="5">
        <v>21</v>
      </c>
      <c r="M22" s="5">
        <v>16</v>
      </c>
      <c r="N22" s="5">
        <v>3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1</v>
      </c>
      <c r="C23" s="5">
        <v>1</v>
      </c>
      <c r="D23" s="5">
        <v>1</v>
      </c>
      <c r="E23" s="5">
        <v>5</v>
      </c>
      <c r="F23" s="5">
        <v>5</v>
      </c>
      <c r="G23" s="6">
        <f t="shared" si="0"/>
        <v>5</v>
      </c>
      <c r="H23" s="5">
        <v>4</v>
      </c>
      <c r="I23" s="6">
        <f t="shared" si="1"/>
        <v>125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4" t="s">
        <v>38</v>
      </c>
      <c r="R23" s="5">
        <v>4</v>
      </c>
      <c r="S23" s="5">
        <f t="shared" si="2"/>
        <v>24</v>
      </c>
      <c r="T23" s="5">
        <v>48</v>
      </c>
      <c r="U23" s="5">
        <v>0</v>
      </c>
      <c r="V23" s="5">
        <v>0</v>
      </c>
      <c r="W23" s="6">
        <v>0</v>
      </c>
      <c r="X23" s="6">
        <f t="shared" si="4"/>
        <v>12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5</v>
      </c>
      <c r="S24" s="5">
        <f t="shared" si="2"/>
        <v>30</v>
      </c>
      <c r="T24" s="5">
        <v>67</v>
      </c>
      <c r="U24" s="5">
        <v>0</v>
      </c>
      <c r="V24" s="5">
        <v>0</v>
      </c>
      <c r="W24" s="6">
        <v>0</v>
      </c>
      <c r="X24" s="6">
        <f t="shared" si="4"/>
        <v>13.4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15</v>
      </c>
      <c r="S25" s="5">
        <f t="shared" si="2"/>
        <v>90</v>
      </c>
      <c r="T25" s="5">
        <v>146</v>
      </c>
      <c r="U25" s="5">
        <v>4</v>
      </c>
      <c r="V25" s="5" t="s">
        <v>113</v>
      </c>
      <c r="W25" s="6">
        <f t="shared" si="3"/>
        <v>36.5</v>
      </c>
      <c r="X25" s="6">
        <f t="shared" si="4"/>
        <v>9.7333333333333325</v>
      </c>
      <c r="Y25" s="6">
        <f t="shared" si="5"/>
        <v>22.5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7"/>
  <sheetViews>
    <sheetView topLeftCell="I1" workbookViewId="0">
      <selection activeCell="X8" sqref="X8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" t="s">
        <v>4</v>
      </c>
      <c r="X1" s="1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13</v>
      </c>
      <c r="C2" s="5">
        <v>13</v>
      </c>
      <c r="D2" s="5">
        <v>3</v>
      </c>
      <c r="E2" s="5">
        <f>418+50</f>
        <v>468</v>
      </c>
      <c r="F2" s="5">
        <v>109</v>
      </c>
      <c r="G2" s="6">
        <f>E2/B2</f>
        <v>36</v>
      </c>
      <c r="H2" s="5">
        <f>285+40</f>
        <v>325</v>
      </c>
      <c r="I2" s="6">
        <f>E2/H2*100</f>
        <v>144</v>
      </c>
      <c r="J2" s="5">
        <v>1</v>
      </c>
      <c r="K2" s="5">
        <v>3</v>
      </c>
      <c r="L2" s="5">
        <v>51</v>
      </c>
      <c r="M2" s="5">
        <v>18</v>
      </c>
      <c r="N2" s="5">
        <v>10</v>
      </c>
      <c r="O2" s="5">
        <v>0</v>
      </c>
      <c r="P2" s="5">
        <v>0</v>
      </c>
      <c r="Q2" s="4" t="s">
        <v>17</v>
      </c>
      <c r="R2" s="5">
        <v>2</v>
      </c>
      <c r="S2" s="5">
        <f>R2*6</f>
        <v>12</v>
      </c>
      <c r="T2" s="5">
        <v>17</v>
      </c>
      <c r="U2" s="5">
        <v>0</v>
      </c>
      <c r="V2" s="5">
        <v>0</v>
      </c>
      <c r="W2" s="6">
        <v>0</v>
      </c>
      <c r="X2" s="6">
        <f>T2/R2</f>
        <v>8.5</v>
      </c>
      <c r="Y2" s="6">
        <v>0</v>
      </c>
      <c r="Z2" s="5">
        <v>0</v>
      </c>
      <c r="AA2" s="5">
        <v>0</v>
      </c>
    </row>
    <row r="3" spans="1:27" x14ac:dyDescent="0.25">
      <c r="A3" s="4" t="s">
        <v>18</v>
      </c>
      <c r="B3" s="5">
        <v>6</v>
      </c>
      <c r="C3" s="5">
        <v>6</v>
      </c>
      <c r="D3" s="5">
        <v>1</v>
      </c>
      <c r="E3" s="5">
        <v>127</v>
      </c>
      <c r="F3" s="5">
        <v>33</v>
      </c>
      <c r="G3" s="6">
        <f t="shared" ref="G3:G24" si="0">E3/B3</f>
        <v>21.166666666666668</v>
      </c>
      <c r="H3" s="5">
        <v>77</v>
      </c>
      <c r="I3" s="6">
        <f t="shared" ref="I3:I24" si="1">E3/H3*100</f>
        <v>164.93506493506493</v>
      </c>
      <c r="J3" s="5">
        <v>0</v>
      </c>
      <c r="K3" s="5">
        <v>0</v>
      </c>
      <c r="L3" s="5">
        <v>9</v>
      </c>
      <c r="M3" s="5">
        <v>10</v>
      </c>
      <c r="N3" s="5">
        <v>0</v>
      </c>
      <c r="O3" s="5">
        <v>0</v>
      </c>
      <c r="P3" s="5">
        <v>0</v>
      </c>
      <c r="Q3" s="4" t="s">
        <v>18</v>
      </c>
      <c r="R3" s="5">
        <v>5</v>
      </c>
      <c r="S3" s="5">
        <f t="shared" ref="S3:S27" si="2">R3*6</f>
        <v>30</v>
      </c>
      <c r="T3" s="5">
        <f>35+13</f>
        <v>48</v>
      </c>
      <c r="U3" s="5">
        <v>1</v>
      </c>
      <c r="V3" s="5" t="s">
        <v>60</v>
      </c>
      <c r="W3" s="6">
        <f t="shared" ref="W3:W24" si="3">T3/U3</f>
        <v>48</v>
      </c>
      <c r="X3" s="6">
        <f t="shared" ref="X3:X24" si="4">T3/R3</f>
        <v>9.6</v>
      </c>
      <c r="Y3" s="6">
        <f t="shared" ref="Y3:Y24" si="5">S3/U3</f>
        <v>30</v>
      </c>
      <c r="Z3" s="5">
        <v>0</v>
      </c>
      <c r="AA3" s="5">
        <v>0</v>
      </c>
    </row>
    <row r="4" spans="1:27" x14ac:dyDescent="0.25">
      <c r="A4" s="4" t="s">
        <v>19</v>
      </c>
      <c r="B4" s="5">
        <v>5</v>
      </c>
      <c r="C4" s="5">
        <v>5</v>
      </c>
      <c r="D4" s="5">
        <v>1</v>
      </c>
      <c r="E4" s="5">
        <f>10+116</f>
        <v>126</v>
      </c>
      <c r="F4" s="5">
        <v>96</v>
      </c>
      <c r="G4" s="6">
        <f t="shared" si="0"/>
        <v>25.2</v>
      </c>
      <c r="H4" s="5">
        <f>14+47</f>
        <v>61</v>
      </c>
      <c r="I4" s="6">
        <f t="shared" si="1"/>
        <v>206.55737704918033</v>
      </c>
      <c r="J4" s="5">
        <v>0</v>
      </c>
      <c r="K4" s="5">
        <v>1</v>
      </c>
      <c r="L4" s="5">
        <v>7</v>
      </c>
      <c r="M4" s="5">
        <v>11</v>
      </c>
      <c r="N4" s="5">
        <v>3</v>
      </c>
      <c r="O4" s="5">
        <v>0</v>
      </c>
      <c r="P4" s="5">
        <v>0</v>
      </c>
      <c r="Q4" s="4" t="s">
        <v>19</v>
      </c>
      <c r="R4" s="5">
        <v>16</v>
      </c>
      <c r="S4" s="5">
        <f t="shared" si="2"/>
        <v>96</v>
      </c>
      <c r="T4" s="5">
        <f>82+53</f>
        <v>135</v>
      </c>
      <c r="U4" s="5">
        <v>6</v>
      </c>
      <c r="V4" s="5" t="s">
        <v>58</v>
      </c>
      <c r="W4" s="6">
        <f t="shared" si="3"/>
        <v>22.5</v>
      </c>
      <c r="X4" s="6">
        <f t="shared" si="4"/>
        <v>8.4375</v>
      </c>
      <c r="Y4" s="6">
        <f t="shared" si="5"/>
        <v>16</v>
      </c>
      <c r="Z4" s="5">
        <v>0</v>
      </c>
      <c r="AA4" s="5">
        <v>0</v>
      </c>
    </row>
    <row r="5" spans="1:27" x14ac:dyDescent="0.25">
      <c r="A5" s="4" t="s">
        <v>20</v>
      </c>
      <c r="B5" s="5">
        <v>3</v>
      </c>
      <c r="C5" s="5">
        <v>3</v>
      </c>
      <c r="D5" s="5">
        <v>0</v>
      </c>
      <c r="E5" s="5">
        <f>17+5</f>
        <v>22</v>
      </c>
      <c r="F5" s="5">
        <v>17</v>
      </c>
      <c r="G5" s="6">
        <f t="shared" si="0"/>
        <v>7.333333333333333</v>
      </c>
      <c r="H5" s="5">
        <f>10+8</f>
        <v>18</v>
      </c>
      <c r="I5" s="6">
        <f t="shared" si="1"/>
        <v>122.22222222222223</v>
      </c>
      <c r="J5" s="5">
        <v>0</v>
      </c>
      <c r="K5" s="5">
        <v>0</v>
      </c>
      <c r="L5" s="5">
        <v>2</v>
      </c>
      <c r="M5" s="5">
        <v>1</v>
      </c>
      <c r="N5" s="5">
        <v>1</v>
      </c>
      <c r="O5" s="5">
        <v>0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2</v>
      </c>
      <c r="C7" s="5">
        <v>2</v>
      </c>
      <c r="D7" s="5">
        <v>0</v>
      </c>
      <c r="E7" s="5">
        <f>63+4</f>
        <v>67</v>
      </c>
      <c r="F7" s="5">
        <v>63</v>
      </c>
      <c r="G7" s="6">
        <f t="shared" si="0"/>
        <v>33.5</v>
      </c>
      <c r="H7" s="5">
        <f>21+11</f>
        <v>32</v>
      </c>
      <c r="I7" s="6">
        <f t="shared" si="1"/>
        <v>209.375</v>
      </c>
      <c r="J7" s="5">
        <v>0</v>
      </c>
      <c r="K7" s="5">
        <v>1</v>
      </c>
      <c r="L7" s="5">
        <v>5</v>
      </c>
      <c r="M7" s="5">
        <v>6</v>
      </c>
      <c r="N7" s="5">
        <v>1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8</v>
      </c>
      <c r="C8" s="5">
        <v>8</v>
      </c>
      <c r="D8" s="5">
        <v>2</v>
      </c>
      <c r="E8" s="5">
        <f>172+20</f>
        <v>192</v>
      </c>
      <c r="F8" s="5">
        <v>60</v>
      </c>
      <c r="G8" s="6">
        <f t="shared" si="0"/>
        <v>24</v>
      </c>
      <c r="H8" s="5">
        <f>114+21</f>
        <v>135</v>
      </c>
      <c r="I8" s="6">
        <f t="shared" si="1"/>
        <v>142.22222222222223</v>
      </c>
      <c r="J8" s="5">
        <v>0</v>
      </c>
      <c r="K8" s="5">
        <v>1</v>
      </c>
      <c r="L8" s="5">
        <v>15</v>
      </c>
      <c r="M8" s="5">
        <v>9</v>
      </c>
      <c r="N8" s="5">
        <v>3</v>
      </c>
      <c r="O8" s="5">
        <v>0</v>
      </c>
      <c r="P8" s="5">
        <v>0</v>
      </c>
      <c r="Q8" s="4" t="s">
        <v>23</v>
      </c>
      <c r="R8" s="5">
        <v>13</v>
      </c>
      <c r="S8" s="5">
        <f t="shared" si="2"/>
        <v>78</v>
      </c>
      <c r="T8" s="5">
        <v>110</v>
      </c>
      <c r="U8" s="5">
        <v>4</v>
      </c>
      <c r="V8" s="5" t="s">
        <v>72</v>
      </c>
      <c r="W8" s="6">
        <f t="shared" si="3"/>
        <v>27.5</v>
      </c>
      <c r="X8" s="6">
        <f t="shared" si="4"/>
        <v>8.4615384615384617</v>
      </c>
      <c r="Y8" s="6">
        <f t="shared" si="5"/>
        <v>19.5</v>
      </c>
      <c r="Z8" s="5">
        <v>0</v>
      </c>
      <c r="AA8" s="5">
        <v>0</v>
      </c>
    </row>
    <row r="9" spans="1:27" x14ac:dyDescent="0.25">
      <c r="A9" s="4" t="s">
        <v>24</v>
      </c>
      <c r="B9" s="5">
        <v>16</v>
      </c>
      <c r="C9" s="5">
        <f>B9</f>
        <v>16</v>
      </c>
      <c r="D9" s="5">
        <v>6</v>
      </c>
      <c r="E9" s="5">
        <v>182</v>
      </c>
      <c r="F9" s="5">
        <v>46</v>
      </c>
      <c r="G9" s="6">
        <f t="shared" si="0"/>
        <v>11.375</v>
      </c>
      <c r="H9" s="5">
        <v>130</v>
      </c>
      <c r="I9" s="6">
        <f t="shared" si="1"/>
        <v>140</v>
      </c>
      <c r="J9" s="5">
        <v>0</v>
      </c>
      <c r="K9" s="5">
        <v>0</v>
      </c>
      <c r="L9" s="5">
        <v>16</v>
      </c>
      <c r="M9" s="5">
        <v>9</v>
      </c>
      <c r="N9" s="5">
        <v>7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3</v>
      </c>
      <c r="C10" s="5">
        <v>3</v>
      </c>
      <c r="D10" s="5">
        <v>2</v>
      </c>
      <c r="E10" s="5">
        <v>32</v>
      </c>
      <c r="F10" s="5">
        <v>24</v>
      </c>
      <c r="G10" s="6">
        <f t="shared" si="0"/>
        <v>10.666666666666666</v>
      </c>
      <c r="H10" s="5">
        <v>21</v>
      </c>
      <c r="I10" s="6">
        <f t="shared" si="1"/>
        <v>152.38095238095238</v>
      </c>
      <c r="J10" s="5">
        <v>0</v>
      </c>
      <c r="K10" s="5">
        <v>0</v>
      </c>
      <c r="L10" s="5">
        <v>0</v>
      </c>
      <c r="M10" s="5">
        <v>3</v>
      </c>
      <c r="N10" s="5">
        <v>1</v>
      </c>
      <c r="O10" s="5">
        <v>0</v>
      </c>
      <c r="P10" s="5">
        <v>0</v>
      </c>
      <c r="Q10" s="4" t="s">
        <v>25</v>
      </c>
      <c r="R10" s="5">
        <v>9</v>
      </c>
      <c r="S10" s="5">
        <f t="shared" si="2"/>
        <v>54</v>
      </c>
      <c r="T10" s="5">
        <f>14+39</f>
        <v>53</v>
      </c>
      <c r="U10" s="5">
        <v>2</v>
      </c>
      <c r="V10" s="5" t="s">
        <v>127</v>
      </c>
      <c r="W10" s="6">
        <f t="shared" si="3"/>
        <v>26.5</v>
      </c>
      <c r="X10" s="6">
        <f t="shared" si="4"/>
        <v>5.8888888888888893</v>
      </c>
      <c r="Y10" s="6">
        <f t="shared" si="5"/>
        <v>27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f t="shared" ref="C11:C27" si="6">B11</f>
        <v>1</v>
      </c>
      <c r="D11" s="5">
        <v>0</v>
      </c>
      <c r="E11" s="5">
        <v>0</v>
      </c>
      <c r="F11" s="5">
        <v>0</v>
      </c>
      <c r="G11" s="6">
        <f t="shared" si="0"/>
        <v>0</v>
      </c>
      <c r="H11" s="5">
        <v>2</v>
      </c>
      <c r="I11" s="6">
        <f t="shared" si="1"/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 t="s">
        <v>26</v>
      </c>
      <c r="R11" s="5">
        <v>32</v>
      </c>
      <c r="S11" s="5">
        <f t="shared" si="2"/>
        <v>192</v>
      </c>
      <c r="T11" s="5">
        <f>206+48</f>
        <v>254</v>
      </c>
      <c r="U11" s="5">
        <v>7</v>
      </c>
      <c r="V11" s="5" t="s">
        <v>83</v>
      </c>
      <c r="W11" s="6">
        <f t="shared" si="3"/>
        <v>36.285714285714285</v>
      </c>
      <c r="X11" s="6">
        <f t="shared" si="4"/>
        <v>7.9375</v>
      </c>
      <c r="Y11" s="6">
        <f t="shared" si="5"/>
        <v>27.428571428571427</v>
      </c>
      <c r="Z11" s="5">
        <v>0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14</v>
      </c>
      <c r="S12" s="5">
        <f t="shared" si="2"/>
        <v>84</v>
      </c>
      <c r="T12" s="5">
        <f>71+67</f>
        <v>138</v>
      </c>
      <c r="U12" s="5">
        <v>2</v>
      </c>
      <c r="V12" s="5" t="s">
        <v>128</v>
      </c>
      <c r="W12" s="6">
        <f t="shared" si="3"/>
        <v>69</v>
      </c>
      <c r="X12" s="6">
        <f t="shared" si="4"/>
        <v>9.8571428571428577</v>
      </c>
      <c r="Y12" s="6">
        <f t="shared" si="5"/>
        <v>42</v>
      </c>
      <c r="Z12" s="5">
        <v>0</v>
      </c>
      <c r="AA12" s="5">
        <v>0</v>
      </c>
    </row>
    <row r="13" spans="1:27" x14ac:dyDescent="0.25">
      <c r="A13" s="4" t="s">
        <v>28</v>
      </c>
      <c r="B13" s="5">
        <v>1</v>
      </c>
      <c r="C13" s="5">
        <f t="shared" si="6"/>
        <v>1</v>
      </c>
      <c r="D13" s="5">
        <v>0</v>
      </c>
      <c r="E13" s="5">
        <v>20</v>
      </c>
      <c r="F13" s="5">
        <v>20</v>
      </c>
      <c r="G13" s="6">
        <f t="shared" si="0"/>
        <v>20</v>
      </c>
      <c r="H13" s="5">
        <v>8</v>
      </c>
      <c r="I13" s="6">
        <f t="shared" si="1"/>
        <v>250</v>
      </c>
      <c r="J13" s="5">
        <v>0</v>
      </c>
      <c r="K13" s="5">
        <v>0</v>
      </c>
      <c r="L13" s="5">
        <v>0</v>
      </c>
      <c r="M13" s="5">
        <v>3</v>
      </c>
      <c r="N13" s="5">
        <v>0</v>
      </c>
      <c r="O13" s="5">
        <v>0</v>
      </c>
      <c r="P13" s="5">
        <v>0</v>
      </c>
      <c r="Q13" s="4" t="s">
        <v>28</v>
      </c>
      <c r="R13" s="5">
        <v>11</v>
      </c>
      <c r="S13" s="5">
        <f t="shared" si="2"/>
        <v>66</v>
      </c>
      <c r="T13" s="5">
        <f>51+24</f>
        <v>75</v>
      </c>
      <c r="U13" s="5">
        <v>6</v>
      </c>
      <c r="V13" s="5" t="s">
        <v>98</v>
      </c>
      <c r="W13" s="6">
        <f t="shared" si="3"/>
        <v>12.5</v>
      </c>
      <c r="X13" s="6">
        <f t="shared" si="4"/>
        <v>6.8181818181818183</v>
      </c>
      <c r="Y13" s="6">
        <f t="shared" si="5"/>
        <v>11</v>
      </c>
      <c r="Z13" s="5">
        <v>0</v>
      </c>
      <c r="AA13" s="5">
        <v>0</v>
      </c>
    </row>
    <row r="14" spans="1:27" x14ac:dyDescent="0.25">
      <c r="A14" s="4" t="s">
        <v>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6">
        <f t="shared" si="0"/>
        <v>1</v>
      </c>
      <c r="H14" s="5">
        <v>1</v>
      </c>
      <c r="I14" s="6">
        <f t="shared" si="1"/>
        <v>100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4" t="s">
        <v>29</v>
      </c>
      <c r="R14" s="5">
        <v>4</v>
      </c>
      <c r="S14" s="5">
        <f t="shared" si="2"/>
        <v>24</v>
      </c>
      <c r="T14" s="5">
        <v>56</v>
      </c>
      <c r="U14" s="5">
        <v>1</v>
      </c>
      <c r="V14" s="5" t="s">
        <v>129</v>
      </c>
      <c r="W14" s="6">
        <f t="shared" si="3"/>
        <v>56</v>
      </c>
      <c r="X14" s="6">
        <f t="shared" si="4"/>
        <v>14</v>
      </c>
      <c r="Y14" s="6">
        <f t="shared" si="5"/>
        <v>24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4" t="s">
        <v>30</v>
      </c>
      <c r="R15" s="5">
        <v>0</v>
      </c>
      <c r="S15" s="5">
        <f t="shared" si="2"/>
        <v>0</v>
      </c>
      <c r="T15" s="5">
        <v>0</v>
      </c>
      <c r="U15" s="5">
        <v>0</v>
      </c>
      <c r="V15" s="5">
        <v>0</v>
      </c>
      <c r="W15" s="6">
        <v>0</v>
      </c>
      <c r="X15" s="6">
        <v>0</v>
      </c>
      <c r="Y15" s="6">
        <v>0</v>
      </c>
      <c r="Z15" s="5">
        <v>0</v>
      </c>
      <c r="AA15" s="5">
        <v>0</v>
      </c>
    </row>
    <row r="16" spans="1:27" x14ac:dyDescent="0.25">
      <c r="A16" s="4" t="s">
        <v>31</v>
      </c>
      <c r="B16" s="5">
        <v>2</v>
      </c>
      <c r="C16" s="5">
        <v>2</v>
      </c>
      <c r="D16" s="5">
        <v>0</v>
      </c>
      <c r="E16" s="5">
        <f>25+15</f>
        <v>40</v>
      </c>
      <c r="F16" s="5">
        <v>25</v>
      </c>
      <c r="G16" s="6">
        <f t="shared" si="0"/>
        <v>20</v>
      </c>
      <c r="H16" s="5">
        <v>19</v>
      </c>
      <c r="I16" s="6">
        <f t="shared" si="1"/>
        <v>210.52631578947367</v>
      </c>
      <c r="J16" s="5">
        <v>0</v>
      </c>
      <c r="K16" s="5">
        <v>0</v>
      </c>
      <c r="L16" s="5">
        <v>2</v>
      </c>
      <c r="M16" s="5">
        <v>4</v>
      </c>
      <c r="N16" s="5">
        <v>1</v>
      </c>
      <c r="O16" s="5">
        <v>0</v>
      </c>
      <c r="P16" s="5">
        <v>0</v>
      </c>
      <c r="Q16" s="4" t="s">
        <v>31</v>
      </c>
      <c r="R16" s="5">
        <v>6</v>
      </c>
      <c r="S16" s="5">
        <f t="shared" si="2"/>
        <v>36</v>
      </c>
      <c r="T16" s="5">
        <f>42+12</f>
        <v>54</v>
      </c>
      <c r="U16" s="5">
        <v>2</v>
      </c>
      <c r="V16" s="5" t="s">
        <v>115</v>
      </c>
      <c r="W16" s="6">
        <f t="shared" si="3"/>
        <v>27</v>
      </c>
      <c r="X16" s="6">
        <f t="shared" si="4"/>
        <v>9</v>
      </c>
      <c r="Y16" s="6">
        <f t="shared" si="5"/>
        <v>18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4</v>
      </c>
      <c r="S18" s="5">
        <f t="shared" si="2"/>
        <v>24</v>
      </c>
      <c r="T18" s="5">
        <v>35</v>
      </c>
      <c r="U18" s="5">
        <v>1</v>
      </c>
      <c r="V18" s="5" t="s">
        <v>107</v>
      </c>
      <c r="W18" s="6">
        <f t="shared" si="3"/>
        <v>35</v>
      </c>
      <c r="X18" s="6">
        <f t="shared" si="4"/>
        <v>8.75</v>
      </c>
      <c r="Y18" s="6">
        <f t="shared" si="5"/>
        <v>24</v>
      </c>
      <c r="Z18" s="5">
        <v>0</v>
      </c>
      <c r="AA18" s="5">
        <v>0</v>
      </c>
    </row>
    <row r="19" spans="1:27" x14ac:dyDescent="0.25">
      <c r="A19" s="4" t="s">
        <v>34</v>
      </c>
      <c r="B19" s="5">
        <v>4</v>
      </c>
      <c r="C19" s="5">
        <f t="shared" si="6"/>
        <v>4</v>
      </c>
      <c r="D19" s="5">
        <v>0</v>
      </c>
      <c r="E19" s="5">
        <v>43</v>
      </c>
      <c r="F19" s="5">
        <v>35</v>
      </c>
      <c r="G19" s="6">
        <f t="shared" si="0"/>
        <v>10.75</v>
      </c>
      <c r="H19" s="5">
        <v>38</v>
      </c>
      <c r="I19" s="6">
        <f t="shared" si="1"/>
        <v>113.1578947368421</v>
      </c>
      <c r="J19" s="5">
        <v>0</v>
      </c>
      <c r="K19" s="5">
        <v>0</v>
      </c>
      <c r="L19" s="5">
        <v>4</v>
      </c>
      <c r="M19" s="5">
        <v>2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4" t="s">
        <v>35</v>
      </c>
      <c r="R20" s="5">
        <v>4</v>
      </c>
      <c r="S20" s="5">
        <f t="shared" si="2"/>
        <v>24</v>
      </c>
      <c r="T20" s="5">
        <v>27</v>
      </c>
      <c r="U20" s="5">
        <v>1</v>
      </c>
      <c r="V20" s="5" t="s">
        <v>116</v>
      </c>
      <c r="W20" s="6">
        <f t="shared" si="3"/>
        <v>27</v>
      </c>
      <c r="X20" s="6">
        <f t="shared" si="4"/>
        <v>6.75</v>
      </c>
      <c r="Y20" s="6">
        <f t="shared" si="5"/>
        <v>24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2</v>
      </c>
      <c r="C22" s="5">
        <v>2</v>
      </c>
      <c r="D22" s="5">
        <v>0</v>
      </c>
      <c r="E22" s="5">
        <v>33</v>
      </c>
      <c r="F22" s="5">
        <v>18</v>
      </c>
      <c r="G22" s="6">
        <f t="shared" si="0"/>
        <v>16.5</v>
      </c>
      <c r="H22" s="5">
        <v>29</v>
      </c>
      <c r="I22" s="6">
        <f t="shared" si="1"/>
        <v>113.79310344827587</v>
      </c>
      <c r="J22" s="5">
        <v>0</v>
      </c>
      <c r="K22" s="5">
        <v>0</v>
      </c>
      <c r="L22" s="5">
        <v>4</v>
      </c>
      <c r="M22" s="5">
        <v>1</v>
      </c>
      <c r="N22" s="5">
        <v>2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2</v>
      </c>
      <c r="C24" s="5">
        <f t="shared" si="6"/>
        <v>2</v>
      </c>
      <c r="D24" s="5">
        <v>2</v>
      </c>
      <c r="E24" s="5">
        <v>5</v>
      </c>
      <c r="F24" s="5">
        <v>3</v>
      </c>
      <c r="G24" s="6">
        <f t="shared" si="0"/>
        <v>2.5</v>
      </c>
      <c r="H24" s="5">
        <v>5</v>
      </c>
      <c r="I24" s="6">
        <f t="shared" si="1"/>
        <v>100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10</v>
      </c>
      <c r="S24" s="5">
        <f t="shared" si="2"/>
        <v>60</v>
      </c>
      <c r="T24" s="5">
        <v>113</v>
      </c>
      <c r="U24" s="5">
        <v>3</v>
      </c>
      <c r="V24" s="5" t="s">
        <v>134</v>
      </c>
      <c r="W24" s="6">
        <f t="shared" si="3"/>
        <v>37.666666666666664</v>
      </c>
      <c r="X24" s="6">
        <f t="shared" si="4"/>
        <v>11.3</v>
      </c>
      <c r="Y24" s="6">
        <f t="shared" si="5"/>
        <v>20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si="6"/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7"/>
  <sheetViews>
    <sheetView topLeftCell="I1" workbookViewId="0">
      <selection activeCell="Y2" sqref="Y2"/>
    </sheetView>
  </sheetViews>
  <sheetFormatPr defaultRowHeight="15" x14ac:dyDescent="0.25"/>
  <cols>
    <col min="1" max="1" width="20.5703125" customWidth="1"/>
    <col min="7" max="7" width="9.140625" style="11"/>
    <col min="9" max="9" width="9.140625" style="11"/>
    <col min="17" max="17" width="20.5703125" customWidth="1"/>
    <col min="23" max="23" width="9.140625" style="11"/>
  </cols>
  <sheetData>
    <row r="1" spans="1:27" s="2" customFormat="1" x14ac:dyDescent="0.25">
      <c r="A1" s="3" t="s">
        <v>112</v>
      </c>
      <c r="B1" s="1" t="s">
        <v>0</v>
      </c>
      <c r="C1" s="1" t="s">
        <v>53</v>
      </c>
      <c r="D1" s="1" t="s">
        <v>1</v>
      </c>
      <c r="E1" s="1" t="s">
        <v>2</v>
      </c>
      <c r="F1" s="1" t="s">
        <v>3</v>
      </c>
      <c r="G1" s="13" t="s">
        <v>4</v>
      </c>
      <c r="H1" s="1" t="s">
        <v>5</v>
      </c>
      <c r="I1" s="13" t="s">
        <v>6</v>
      </c>
      <c r="J1" s="1">
        <v>100</v>
      </c>
      <c r="K1" s="1">
        <v>50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49</v>
      </c>
      <c r="Q1" s="3" t="s">
        <v>112</v>
      </c>
      <c r="R1" s="1" t="s">
        <v>55</v>
      </c>
      <c r="S1" s="1" t="s">
        <v>11</v>
      </c>
      <c r="T1" s="1" t="s">
        <v>2</v>
      </c>
      <c r="U1" s="1" t="s">
        <v>12</v>
      </c>
      <c r="V1" s="1" t="s">
        <v>13</v>
      </c>
      <c r="W1" s="13" t="s">
        <v>4</v>
      </c>
      <c r="X1" s="13" t="s">
        <v>14</v>
      </c>
      <c r="Y1" s="1" t="s">
        <v>6</v>
      </c>
      <c r="Z1" s="1" t="s">
        <v>15</v>
      </c>
      <c r="AA1" s="1" t="s">
        <v>16</v>
      </c>
    </row>
    <row r="2" spans="1:27" x14ac:dyDescent="0.25">
      <c r="A2" s="4" t="s">
        <v>17</v>
      </c>
      <c r="B2" s="5">
        <v>8</v>
      </c>
      <c r="C2" s="5">
        <v>8</v>
      </c>
      <c r="D2" s="5">
        <v>1</v>
      </c>
      <c r="E2" s="5">
        <f>81+71</f>
        <v>152</v>
      </c>
      <c r="F2" s="5">
        <v>97</v>
      </c>
      <c r="G2" s="6">
        <f>E2/B2</f>
        <v>19</v>
      </c>
      <c r="H2" s="5">
        <f>77+50</f>
        <v>127</v>
      </c>
      <c r="I2" s="6">
        <f>E2/H2*100</f>
        <v>119.68503937007875</v>
      </c>
      <c r="J2" s="5">
        <v>0</v>
      </c>
      <c r="K2" s="5">
        <v>1</v>
      </c>
      <c r="L2" s="5">
        <v>13</v>
      </c>
      <c r="M2" s="5">
        <v>5</v>
      </c>
      <c r="N2" s="5">
        <v>4</v>
      </c>
      <c r="O2" s="5">
        <v>0</v>
      </c>
      <c r="P2" s="5">
        <v>0</v>
      </c>
      <c r="Q2" s="4" t="s">
        <v>17</v>
      </c>
      <c r="R2" s="5">
        <v>5</v>
      </c>
      <c r="S2" s="5">
        <f>R2*6</f>
        <v>30</v>
      </c>
      <c r="T2" s="5">
        <v>41</v>
      </c>
      <c r="U2" s="5">
        <v>1</v>
      </c>
      <c r="V2" s="5" t="s">
        <v>116</v>
      </c>
      <c r="W2" s="6">
        <f>T2/U2</f>
        <v>41</v>
      </c>
      <c r="X2" s="6">
        <f>T2/R2</f>
        <v>8.1999999999999993</v>
      </c>
      <c r="Y2" s="6">
        <f>S2/U2</f>
        <v>30</v>
      </c>
      <c r="Z2" s="5">
        <v>0</v>
      </c>
      <c r="AA2" s="5">
        <v>0</v>
      </c>
    </row>
    <row r="3" spans="1:27" x14ac:dyDescent="0.25">
      <c r="A3" s="4" t="s">
        <v>18</v>
      </c>
      <c r="B3" s="5">
        <v>5</v>
      </c>
      <c r="C3" s="5">
        <v>5</v>
      </c>
      <c r="D3" s="5">
        <v>1</v>
      </c>
      <c r="E3" s="5">
        <v>92</v>
      </c>
      <c r="F3" s="5">
        <v>43</v>
      </c>
      <c r="G3" s="6">
        <f t="shared" ref="G3:G22" si="0">E3/B3</f>
        <v>18.399999999999999</v>
      </c>
      <c r="H3" s="5">
        <v>84</v>
      </c>
      <c r="I3" s="6">
        <f t="shared" ref="I3:I22" si="1">E3/H3*100</f>
        <v>109.52380952380953</v>
      </c>
      <c r="J3" s="5">
        <v>0</v>
      </c>
      <c r="K3" s="5">
        <v>0</v>
      </c>
      <c r="L3" s="5">
        <v>8</v>
      </c>
      <c r="M3" s="5">
        <v>2</v>
      </c>
      <c r="N3" s="5">
        <v>2</v>
      </c>
      <c r="O3" s="5">
        <v>0</v>
      </c>
      <c r="P3" s="5">
        <v>0</v>
      </c>
      <c r="Q3" s="4" t="s">
        <v>18</v>
      </c>
      <c r="R3" s="5">
        <v>5</v>
      </c>
      <c r="S3" s="5">
        <f t="shared" ref="S3:S27" si="2">R3*6</f>
        <v>30</v>
      </c>
      <c r="T3" s="5">
        <v>41</v>
      </c>
      <c r="U3" s="5">
        <v>1</v>
      </c>
      <c r="V3" s="5" t="s">
        <v>62</v>
      </c>
      <c r="W3" s="6">
        <f t="shared" ref="W3:W15" si="3">T3/U3</f>
        <v>41</v>
      </c>
      <c r="X3" s="6">
        <f t="shared" ref="X3:X15" si="4">T3/R3</f>
        <v>8.1999999999999993</v>
      </c>
      <c r="Y3" s="6">
        <f t="shared" ref="Y3:Y15" si="5">S3/U3</f>
        <v>30</v>
      </c>
      <c r="Z3" s="5">
        <v>0</v>
      </c>
      <c r="AA3" s="5">
        <v>0</v>
      </c>
    </row>
    <row r="4" spans="1:27" x14ac:dyDescent="0.25">
      <c r="A4" s="4" t="s">
        <v>19</v>
      </c>
      <c r="B4" s="5">
        <v>3</v>
      </c>
      <c r="C4" s="5">
        <v>3</v>
      </c>
      <c r="D4" s="5">
        <v>2</v>
      </c>
      <c r="E4" s="5">
        <f>21+37</f>
        <v>58</v>
      </c>
      <c r="F4" s="5">
        <v>24</v>
      </c>
      <c r="G4" s="6">
        <f t="shared" si="0"/>
        <v>19.333333333333332</v>
      </c>
      <c r="H4" s="5">
        <f>8+29</f>
        <v>37</v>
      </c>
      <c r="I4" s="6">
        <f t="shared" si="1"/>
        <v>156.75675675675674</v>
      </c>
      <c r="J4" s="5">
        <v>0</v>
      </c>
      <c r="K4" s="5">
        <v>0</v>
      </c>
      <c r="L4" s="5">
        <v>2</v>
      </c>
      <c r="M4" s="5">
        <v>4</v>
      </c>
      <c r="N4" s="5">
        <v>4</v>
      </c>
      <c r="O4" s="5">
        <v>0</v>
      </c>
      <c r="P4" s="5">
        <v>0</v>
      </c>
      <c r="Q4" s="4" t="s">
        <v>19</v>
      </c>
      <c r="R4" s="5">
        <v>5</v>
      </c>
      <c r="S4" s="5">
        <f t="shared" si="2"/>
        <v>30</v>
      </c>
      <c r="T4" s="5">
        <f>39+4</f>
        <v>43</v>
      </c>
      <c r="U4" s="5">
        <v>1</v>
      </c>
      <c r="V4" s="5" t="s">
        <v>101</v>
      </c>
      <c r="W4" s="6">
        <f t="shared" si="3"/>
        <v>43</v>
      </c>
      <c r="X4" s="6">
        <f t="shared" si="4"/>
        <v>8.6</v>
      </c>
      <c r="Y4" s="6">
        <f t="shared" si="5"/>
        <v>30</v>
      </c>
      <c r="Z4" s="5">
        <v>0</v>
      </c>
      <c r="AA4" s="5">
        <v>0</v>
      </c>
    </row>
    <row r="5" spans="1:27" x14ac:dyDescent="0.25">
      <c r="A5" s="4" t="s">
        <v>20</v>
      </c>
      <c r="B5" s="5">
        <v>3</v>
      </c>
      <c r="C5" s="5">
        <v>3</v>
      </c>
      <c r="D5" s="5">
        <v>0</v>
      </c>
      <c r="E5" s="5">
        <v>31</v>
      </c>
      <c r="F5" s="5">
        <v>16</v>
      </c>
      <c r="G5" s="6">
        <f t="shared" si="0"/>
        <v>10.333333333333334</v>
      </c>
      <c r="H5" s="5">
        <v>24</v>
      </c>
      <c r="I5" s="6">
        <f t="shared" si="1"/>
        <v>129.16666666666669</v>
      </c>
      <c r="J5" s="5">
        <v>0</v>
      </c>
      <c r="K5" s="5">
        <v>0</v>
      </c>
      <c r="L5" s="5">
        <v>4</v>
      </c>
      <c r="M5" s="5">
        <v>1</v>
      </c>
      <c r="N5" s="5">
        <v>1</v>
      </c>
      <c r="O5" s="5">
        <v>2</v>
      </c>
      <c r="P5" s="5">
        <v>0</v>
      </c>
      <c r="Q5" s="4" t="s">
        <v>20</v>
      </c>
      <c r="R5" s="5">
        <v>0</v>
      </c>
      <c r="S5" s="5">
        <f t="shared" si="2"/>
        <v>0</v>
      </c>
      <c r="T5" s="5">
        <v>0</v>
      </c>
      <c r="U5" s="5">
        <v>0</v>
      </c>
      <c r="V5" s="5">
        <v>0</v>
      </c>
      <c r="W5" s="6">
        <v>0</v>
      </c>
      <c r="X5" s="6">
        <v>0</v>
      </c>
      <c r="Y5" s="6">
        <v>0</v>
      </c>
      <c r="Z5" s="5">
        <v>0</v>
      </c>
      <c r="AA5" s="5">
        <v>0</v>
      </c>
    </row>
    <row r="6" spans="1:27" x14ac:dyDescent="0.25">
      <c r="A6" s="4" t="s">
        <v>21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0</v>
      </c>
      <c r="H6" s="5">
        <v>0</v>
      </c>
      <c r="I6" s="6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 t="s">
        <v>21</v>
      </c>
      <c r="R6" s="5">
        <v>0</v>
      </c>
      <c r="S6" s="5">
        <f t="shared" si="2"/>
        <v>0</v>
      </c>
      <c r="T6" s="5">
        <v>0</v>
      </c>
      <c r="U6" s="5">
        <v>0</v>
      </c>
      <c r="V6" s="5">
        <v>0</v>
      </c>
      <c r="W6" s="6">
        <v>0</v>
      </c>
      <c r="X6" s="6">
        <v>0</v>
      </c>
      <c r="Y6" s="6">
        <v>0</v>
      </c>
      <c r="Z6" s="5">
        <v>0</v>
      </c>
      <c r="AA6" s="5">
        <v>0</v>
      </c>
    </row>
    <row r="7" spans="1:27" x14ac:dyDescent="0.25">
      <c r="A7" s="4" t="s">
        <v>22</v>
      </c>
      <c r="B7" s="5">
        <v>1</v>
      </c>
      <c r="C7" s="5">
        <v>1</v>
      </c>
      <c r="D7" s="5">
        <v>0</v>
      </c>
      <c r="E7" s="5">
        <v>33</v>
      </c>
      <c r="F7" s="5">
        <v>33</v>
      </c>
      <c r="G7" s="6">
        <f t="shared" si="0"/>
        <v>33</v>
      </c>
      <c r="H7" s="5">
        <v>31</v>
      </c>
      <c r="I7" s="6">
        <f t="shared" si="1"/>
        <v>106.45161290322579</v>
      </c>
      <c r="J7" s="5">
        <v>0</v>
      </c>
      <c r="K7" s="5">
        <v>0</v>
      </c>
      <c r="L7" s="5">
        <v>2</v>
      </c>
      <c r="M7" s="5">
        <v>1</v>
      </c>
      <c r="N7" s="5">
        <v>0</v>
      </c>
      <c r="O7" s="5">
        <v>0</v>
      </c>
      <c r="P7" s="5">
        <v>0</v>
      </c>
      <c r="Q7" s="4" t="s">
        <v>22</v>
      </c>
      <c r="R7" s="5">
        <v>0</v>
      </c>
      <c r="S7" s="5">
        <f t="shared" si="2"/>
        <v>0</v>
      </c>
      <c r="T7" s="5">
        <v>0</v>
      </c>
      <c r="U7" s="5">
        <v>0</v>
      </c>
      <c r="V7" s="5">
        <v>0</v>
      </c>
      <c r="W7" s="6">
        <v>0</v>
      </c>
      <c r="X7" s="6">
        <v>0</v>
      </c>
      <c r="Y7" s="6">
        <v>0</v>
      </c>
      <c r="Z7" s="5">
        <v>0</v>
      </c>
      <c r="AA7" s="5">
        <v>0</v>
      </c>
    </row>
    <row r="8" spans="1:27" x14ac:dyDescent="0.25">
      <c r="A8" s="4" t="s">
        <v>23</v>
      </c>
      <c r="B8" s="5">
        <v>5</v>
      </c>
      <c r="C8" s="5">
        <v>5</v>
      </c>
      <c r="D8" s="5">
        <v>2</v>
      </c>
      <c r="E8" s="5">
        <f>66+13</f>
        <v>79</v>
      </c>
      <c r="F8" s="5">
        <v>57</v>
      </c>
      <c r="G8" s="6">
        <f t="shared" si="0"/>
        <v>15.8</v>
      </c>
      <c r="H8" s="5">
        <f>54+12</f>
        <v>66</v>
      </c>
      <c r="I8" s="6">
        <f t="shared" si="1"/>
        <v>119.6969696969697</v>
      </c>
      <c r="J8" s="5">
        <v>0</v>
      </c>
      <c r="K8" s="5">
        <v>1</v>
      </c>
      <c r="L8" s="5">
        <v>6</v>
      </c>
      <c r="M8" s="5">
        <v>5</v>
      </c>
      <c r="N8" s="5">
        <v>4</v>
      </c>
      <c r="O8" s="5">
        <v>0</v>
      </c>
      <c r="P8" s="5">
        <v>0</v>
      </c>
      <c r="Q8" s="4" t="s">
        <v>23</v>
      </c>
      <c r="R8" s="5">
        <v>15</v>
      </c>
      <c r="S8" s="5">
        <f t="shared" si="2"/>
        <v>90</v>
      </c>
      <c r="T8" s="5">
        <v>113</v>
      </c>
      <c r="U8" s="5">
        <v>6</v>
      </c>
      <c r="V8" s="5" t="s">
        <v>61</v>
      </c>
      <c r="W8" s="6">
        <f t="shared" si="3"/>
        <v>18.833333333333332</v>
      </c>
      <c r="X8" s="6">
        <f t="shared" si="4"/>
        <v>7.5333333333333332</v>
      </c>
      <c r="Y8" s="6">
        <f t="shared" si="5"/>
        <v>15</v>
      </c>
      <c r="Z8" s="5">
        <v>0</v>
      </c>
      <c r="AA8" s="5">
        <v>0</v>
      </c>
    </row>
    <row r="9" spans="1:27" x14ac:dyDescent="0.25">
      <c r="A9" s="4" t="s">
        <v>24</v>
      </c>
      <c r="B9" s="5">
        <v>1</v>
      </c>
      <c r="C9" s="5">
        <f>B9</f>
        <v>1</v>
      </c>
      <c r="D9" s="5">
        <v>0</v>
      </c>
      <c r="E9" s="5">
        <v>16</v>
      </c>
      <c r="F9" s="5">
        <v>16</v>
      </c>
      <c r="G9" s="6">
        <f t="shared" si="0"/>
        <v>16</v>
      </c>
      <c r="H9" s="5">
        <v>26</v>
      </c>
      <c r="I9" s="6">
        <f t="shared" si="1"/>
        <v>61.53846153846154</v>
      </c>
      <c r="J9" s="5">
        <v>0</v>
      </c>
      <c r="K9" s="5">
        <v>0</v>
      </c>
      <c r="L9" s="5">
        <v>1</v>
      </c>
      <c r="M9" s="5">
        <v>0</v>
      </c>
      <c r="N9" s="5">
        <v>1</v>
      </c>
      <c r="O9" s="5">
        <v>0</v>
      </c>
      <c r="P9" s="5">
        <v>0</v>
      </c>
      <c r="Q9" s="4" t="s">
        <v>24</v>
      </c>
      <c r="R9" s="5">
        <v>0</v>
      </c>
      <c r="S9" s="5">
        <f t="shared" si="2"/>
        <v>0</v>
      </c>
      <c r="T9" s="5">
        <v>0</v>
      </c>
      <c r="U9" s="5">
        <v>0</v>
      </c>
      <c r="V9" s="5">
        <v>0</v>
      </c>
      <c r="W9" s="6">
        <v>0</v>
      </c>
      <c r="X9" s="6">
        <v>0</v>
      </c>
      <c r="Y9" s="6">
        <v>0</v>
      </c>
      <c r="Z9" s="5">
        <v>0</v>
      </c>
      <c r="AA9" s="5">
        <v>0</v>
      </c>
    </row>
    <row r="10" spans="1:27" x14ac:dyDescent="0.25">
      <c r="A10" s="4" t="s">
        <v>25</v>
      </c>
      <c r="B10" s="5">
        <v>2</v>
      </c>
      <c r="C10" s="5">
        <v>2</v>
      </c>
      <c r="D10" s="5">
        <v>0</v>
      </c>
      <c r="E10" s="5">
        <v>1</v>
      </c>
      <c r="F10" s="5">
        <v>1</v>
      </c>
      <c r="G10" s="6">
        <f t="shared" si="0"/>
        <v>0.5</v>
      </c>
      <c r="H10" s="5">
        <v>4</v>
      </c>
      <c r="I10" s="6">
        <f t="shared" si="1"/>
        <v>25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4" t="s">
        <v>25</v>
      </c>
      <c r="R10" s="5">
        <v>7</v>
      </c>
      <c r="S10" s="5">
        <f t="shared" si="2"/>
        <v>42</v>
      </c>
      <c r="T10" s="5">
        <v>28</v>
      </c>
      <c r="U10" s="5">
        <v>3</v>
      </c>
      <c r="V10" s="5" t="s">
        <v>130</v>
      </c>
      <c r="W10" s="6">
        <f t="shared" si="3"/>
        <v>9.3333333333333339</v>
      </c>
      <c r="X10" s="6">
        <f t="shared" si="4"/>
        <v>4</v>
      </c>
      <c r="Y10" s="6">
        <f t="shared" si="5"/>
        <v>14</v>
      </c>
      <c r="Z10" s="5">
        <v>0</v>
      </c>
      <c r="AA10" s="5">
        <v>0</v>
      </c>
    </row>
    <row r="11" spans="1:27" x14ac:dyDescent="0.25">
      <c r="A11" s="4" t="s">
        <v>26</v>
      </c>
      <c r="B11" s="5">
        <v>1</v>
      </c>
      <c r="C11" s="5">
        <v>1</v>
      </c>
      <c r="D11" s="5">
        <v>0</v>
      </c>
      <c r="E11" s="5">
        <v>7</v>
      </c>
      <c r="F11" s="5">
        <v>7</v>
      </c>
      <c r="G11" s="6">
        <f t="shared" si="0"/>
        <v>7</v>
      </c>
      <c r="H11" s="5">
        <v>5</v>
      </c>
      <c r="I11" s="6">
        <f t="shared" si="1"/>
        <v>140</v>
      </c>
      <c r="J11" s="5">
        <v>0</v>
      </c>
      <c r="K11" s="5">
        <v>0</v>
      </c>
      <c r="L11" s="5">
        <v>0</v>
      </c>
      <c r="M11" s="5">
        <v>1</v>
      </c>
      <c r="N11" s="5">
        <v>3</v>
      </c>
      <c r="O11" s="5">
        <v>0</v>
      </c>
      <c r="P11" s="5">
        <v>0</v>
      </c>
      <c r="Q11" s="4" t="s">
        <v>26</v>
      </c>
      <c r="R11" s="5">
        <v>19</v>
      </c>
      <c r="S11" s="5">
        <f t="shared" si="2"/>
        <v>114</v>
      </c>
      <c r="T11" s="5">
        <v>152</v>
      </c>
      <c r="U11" s="5">
        <v>6</v>
      </c>
      <c r="V11" s="5" t="s">
        <v>131</v>
      </c>
      <c r="W11" s="6">
        <f t="shared" si="3"/>
        <v>25.333333333333332</v>
      </c>
      <c r="X11" s="6">
        <f t="shared" si="4"/>
        <v>8</v>
      </c>
      <c r="Y11" s="6">
        <f t="shared" si="5"/>
        <v>19</v>
      </c>
      <c r="Z11" s="5">
        <v>1</v>
      </c>
      <c r="AA11" s="5">
        <v>0</v>
      </c>
    </row>
    <row r="12" spans="1:27" x14ac:dyDescent="0.25">
      <c r="A12" s="4" t="s">
        <v>27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6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4" t="s">
        <v>27</v>
      </c>
      <c r="R12" s="5">
        <v>7</v>
      </c>
      <c r="S12" s="5">
        <f t="shared" si="2"/>
        <v>42</v>
      </c>
      <c r="T12" s="5">
        <v>46</v>
      </c>
      <c r="U12" s="5">
        <v>2</v>
      </c>
      <c r="V12" s="5" t="s">
        <v>132</v>
      </c>
      <c r="W12" s="6">
        <f t="shared" si="3"/>
        <v>23</v>
      </c>
      <c r="X12" s="6">
        <f t="shared" si="4"/>
        <v>6.5714285714285712</v>
      </c>
      <c r="Y12" s="6">
        <f t="shared" si="5"/>
        <v>21</v>
      </c>
      <c r="Z12" s="5">
        <v>0</v>
      </c>
      <c r="AA12" s="5">
        <v>0</v>
      </c>
    </row>
    <row r="13" spans="1:27" x14ac:dyDescent="0.25">
      <c r="A13" s="4" t="s">
        <v>28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6">
        <v>0</v>
      </c>
      <c r="H13" s="5">
        <v>0</v>
      </c>
      <c r="I13" s="6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4" t="s">
        <v>28</v>
      </c>
      <c r="R13" s="5">
        <v>4</v>
      </c>
      <c r="S13" s="5">
        <f t="shared" si="2"/>
        <v>24</v>
      </c>
      <c r="T13" s="5">
        <v>34</v>
      </c>
      <c r="U13" s="5">
        <v>1</v>
      </c>
      <c r="V13" s="5" t="s">
        <v>96</v>
      </c>
      <c r="W13" s="6">
        <f t="shared" si="3"/>
        <v>34</v>
      </c>
      <c r="X13" s="6">
        <f t="shared" si="4"/>
        <v>8.5</v>
      </c>
      <c r="Y13" s="6">
        <f t="shared" si="5"/>
        <v>24</v>
      </c>
      <c r="Z13" s="5">
        <v>0</v>
      </c>
      <c r="AA13" s="5">
        <v>0</v>
      </c>
    </row>
    <row r="14" spans="1:27" x14ac:dyDescent="0.25">
      <c r="A14" s="4" t="s">
        <v>29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6">
        <v>0</v>
      </c>
      <c r="H14" s="5">
        <v>0</v>
      </c>
      <c r="I14" s="6">
        <v>0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0</v>
      </c>
      <c r="P14" s="5">
        <v>0</v>
      </c>
      <c r="Q14" s="4" t="s">
        <v>29</v>
      </c>
      <c r="R14" s="5">
        <v>8</v>
      </c>
      <c r="S14" s="5">
        <f t="shared" si="2"/>
        <v>48</v>
      </c>
      <c r="T14" s="5">
        <v>35</v>
      </c>
      <c r="U14" s="5">
        <v>2</v>
      </c>
      <c r="V14" s="5" t="s">
        <v>133</v>
      </c>
      <c r="W14" s="6">
        <f t="shared" si="3"/>
        <v>17.5</v>
      </c>
      <c r="X14" s="6">
        <f t="shared" si="4"/>
        <v>4.375</v>
      </c>
      <c r="Y14" s="6">
        <f t="shared" si="5"/>
        <v>24</v>
      </c>
      <c r="Z14" s="5">
        <v>0</v>
      </c>
      <c r="AA14" s="5">
        <v>0</v>
      </c>
    </row>
    <row r="15" spans="1:27" x14ac:dyDescent="0.25">
      <c r="A15" s="4" t="s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6">
        <v>0</v>
      </c>
      <c r="H15" s="5">
        <v>0</v>
      </c>
      <c r="I15" s="6">
        <v>0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4" t="s">
        <v>30</v>
      </c>
      <c r="R15" s="5">
        <v>3</v>
      </c>
      <c r="S15" s="5">
        <f t="shared" si="2"/>
        <v>18</v>
      </c>
      <c r="T15" s="5">
        <v>27</v>
      </c>
      <c r="U15" s="5">
        <v>1</v>
      </c>
      <c r="V15" s="5" t="s">
        <v>116</v>
      </c>
      <c r="W15" s="6">
        <f t="shared" si="3"/>
        <v>27</v>
      </c>
      <c r="X15" s="6">
        <f t="shared" si="4"/>
        <v>9</v>
      </c>
      <c r="Y15" s="6">
        <f t="shared" si="5"/>
        <v>18</v>
      </c>
      <c r="Z15" s="5">
        <v>0</v>
      </c>
      <c r="AA15" s="5">
        <v>0</v>
      </c>
    </row>
    <row r="16" spans="1:27" x14ac:dyDescent="0.25">
      <c r="A16" s="4" t="s">
        <v>31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6">
        <v>0</v>
      </c>
      <c r="H16" s="5">
        <v>0</v>
      </c>
      <c r="I16" s="6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4" t="s">
        <v>31</v>
      </c>
      <c r="R16" s="5">
        <v>0</v>
      </c>
      <c r="S16" s="5">
        <f t="shared" si="2"/>
        <v>0</v>
      </c>
      <c r="T16" s="5">
        <v>0</v>
      </c>
      <c r="U16" s="5">
        <v>0</v>
      </c>
      <c r="V16" s="5">
        <v>0</v>
      </c>
      <c r="W16" s="6">
        <v>0</v>
      </c>
      <c r="X16" s="6">
        <v>0</v>
      </c>
      <c r="Y16" s="6">
        <v>0</v>
      </c>
      <c r="Z16" s="5">
        <v>0</v>
      </c>
      <c r="AA16" s="5">
        <v>0</v>
      </c>
    </row>
    <row r="17" spans="1:27" x14ac:dyDescent="0.25">
      <c r="A17" s="4" t="s">
        <v>32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4" t="s">
        <v>32</v>
      </c>
      <c r="R17" s="5">
        <v>0</v>
      </c>
      <c r="S17" s="5">
        <f t="shared" si="2"/>
        <v>0</v>
      </c>
      <c r="T17" s="5">
        <v>0</v>
      </c>
      <c r="U17" s="5">
        <v>0</v>
      </c>
      <c r="V17" s="5">
        <v>0</v>
      </c>
      <c r="W17" s="6">
        <v>0</v>
      </c>
      <c r="X17" s="6">
        <v>0</v>
      </c>
      <c r="Y17" s="6">
        <v>0</v>
      </c>
      <c r="Z17" s="5">
        <v>0</v>
      </c>
      <c r="AA17" s="5">
        <v>0</v>
      </c>
    </row>
    <row r="18" spans="1:27" x14ac:dyDescent="0.25">
      <c r="A18" s="4" t="s">
        <v>33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6">
        <v>0</v>
      </c>
      <c r="H18" s="5">
        <v>0</v>
      </c>
      <c r="I18" s="6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4" t="s">
        <v>33</v>
      </c>
      <c r="R18" s="5">
        <v>0</v>
      </c>
      <c r="S18" s="5">
        <f t="shared" si="2"/>
        <v>0</v>
      </c>
      <c r="T18" s="5">
        <v>0</v>
      </c>
      <c r="U18" s="5">
        <v>0</v>
      </c>
      <c r="V18" s="5">
        <v>0</v>
      </c>
      <c r="W18" s="6">
        <v>0</v>
      </c>
      <c r="X18" s="6">
        <v>0</v>
      </c>
      <c r="Y18" s="6">
        <v>0</v>
      </c>
      <c r="Z18" s="5">
        <v>0</v>
      </c>
      <c r="AA18" s="5">
        <v>0</v>
      </c>
    </row>
    <row r="19" spans="1:27" x14ac:dyDescent="0.25">
      <c r="A19" s="4" t="s">
        <v>34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6">
        <v>0</v>
      </c>
      <c r="H19" s="5">
        <v>0</v>
      </c>
      <c r="I19" s="6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4" t="s">
        <v>34</v>
      </c>
      <c r="R19" s="5">
        <v>0</v>
      </c>
      <c r="S19" s="5">
        <f t="shared" si="2"/>
        <v>0</v>
      </c>
      <c r="T19" s="5">
        <v>0</v>
      </c>
      <c r="U19" s="5">
        <v>0</v>
      </c>
      <c r="V19" s="5">
        <v>0</v>
      </c>
      <c r="W19" s="6">
        <v>0</v>
      </c>
      <c r="X19" s="6">
        <v>0</v>
      </c>
      <c r="Y19" s="6">
        <v>0</v>
      </c>
      <c r="Z19" s="5">
        <v>0</v>
      </c>
      <c r="AA19" s="5">
        <v>0</v>
      </c>
    </row>
    <row r="20" spans="1:27" x14ac:dyDescent="0.25">
      <c r="A20" s="4" t="s">
        <v>35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6">
        <v>0</v>
      </c>
      <c r="H20" s="5">
        <v>0</v>
      </c>
      <c r="I20" s="6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4" t="s">
        <v>35</v>
      </c>
      <c r="R20" s="5">
        <v>0</v>
      </c>
      <c r="S20" s="5">
        <f t="shared" si="2"/>
        <v>0</v>
      </c>
      <c r="T20" s="5">
        <v>0</v>
      </c>
      <c r="U20" s="5">
        <v>0</v>
      </c>
      <c r="V20" s="5">
        <v>0</v>
      </c>
      <c r="W20" s="6">
        <v>0</v>
      </c>
      <c r="X20" s="6">
        <v>0</v>
      </c>
      <c r="Y20" s="6">
        <v>0</v>
      </c>
      <c r="Z20" s="5">
        <v>0</v>
      </c>
      <c r="AA20" s="5">
        <v>0</v>
      </c>
    </row>
    <row r="21" spans="1:27" x14ac:dyDescent="0.25">
      <c r="A21" s="4" t="s">
        <v>36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6">
        <v>0</v>
      </c>
      <c r="H21" s="5">
        <v>0</v>
      </c>
      <c r="I21" s="6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4" t="s">
        <v>36</v>
      </c>
      <c r="R21" s="5">
        <v>0</v>
      </c>
      <c r="S21" s="5">
        <f t="shared" si="2"/>
        <v>0</v>
      </c>
      <c r="T21" s="5">
        <v>0</v>
      </c>
      <c r="U21" s="5">
        <v>0</v>
      </c>
      <c r="V21" s="5">
        <v>0</v>
      </c>
      <c r="W21" s="6">
        <v>0</v>
      </c>
      <c r="X21" s="6">
        <v>0</v>
      </c>
      <c r="Y21" s="6">
        <v>0</v>
      </c>
      <c r="Z21" s="5">
        <v>0</v>
      </c>
      <c r="AA21" s="5">
        <v>0</v>
      </c>
    </row>
    <row r="22" spans="1:27" x14ac:dyDescent="0.25">
      <c r="A22" s="4" t="s">
        <v>37</v>
      </c>
      <c r="B22" s="5">
        <v>1</v>
      </c>
      <c r="C22" s="5">
        <v>1</v>
      </c>
      <c r="D22" s="5">
        <v>0</v>
      </c>
      <c r="E22" s="5">
        <v>34</v>
      </c>
      <c r="F22" s="5">
        <v>34</v>
      </c>
      <c r="G22" s="6">
        <f t="shared" si="0"/>
        <v>34</v>
      </c>
      <c r="H22" s="5">
        <v>30</v>
      </c>
      <c r="I22" s="6">
        <f t="shared" si="1"/>
        <v>113.33333333333333</v>
      </c>
      <c r="J22" s="5">
        <v>0</v>
      </c>
      <c r="K22" s="5">
        <v>0</v>
      </c>
      <c r="L22" s="5">
        <v>3</v>
      </c>
      <c r="M22" s="5">
        <v>1</v>
      </c>
      <c r="N22" s="5">
        <v>0</v>
      </c>
      <c r="O22" s="5">
        <v>0</v>
      </c>
      <c r="P22" s="5">
        <v>0</v>
      </c>
      <c r="Q22" s="4" t="s">
        <v>37</v>
      </c>
      <c r="R22" s="5">
        <v>0</v>
      </c>
      <c r="S22" s="5">
        <f t="shared" si="2"/>
        <v>0</v>
      </c>
      <c r="T22" s="5">
        <v>0</v>
      </c>
      <c r="U22" s="5">
        <v>0</v>
      </c>
      <c r="V22" s="5">
        <v>0</v>
      </c>
      <c r="W22" s="6">
        <v>0</v>
      </c>
      <c r="X22" s="6">
        <v>0</v>
      </c>
      <c r="Y22" s="6">
        <v>0</v>
      </c>
      <c r="Z22" s="5">
        <v>0</v>
      </c>
      <c r="AA22" s="5">
        <v>0</v>
      </c>
    </row>
    <row r="23" spans="1:27" x14ac:dyDescent="0.25">
      <c r="A23" s="4" t="s">
        <v>38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4" t="s">
        <v>38</v>
      </c>
      <c r="R23" s="5">
        <v>0</v>
      </c>
      <c r="S23" s="5">
        <f t="shared" si="2"/>
        <v>0</v>
      </c>
      <c r="T23" s="5">
        <v>0</v>
      </c>
      <c r="U23" s="5">
        <v>0</v>
      </c>
      <c r="V23" s="5">
        <v>0</v>
      </c>
      <c r="W23" s="6">
        <v>0</v>
      </c>
      <c r="X23" s="6">
        <v>0</v>
      </c>
      <c r="Y23" s="6">
        <v>0</v>
      </c>
      <c r="Z23" s="5">
        <v>0</v>
      </c>
      <c r="AA23" s="5">
        <v>0</v>
      </c>
    </row>
    <row r="24" spans="1:27" x14ac:dyDescent="0.25">
      <c r="A24" s="4" t="s">
        <v>39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4" t="s">
        <v>39</v>
      </c>
      <c r="R24" s="5">
        <v>0</v>
      </c>
      <c r="S24" s="5">
        <f t="shared" si="2"/>
        <v>0</v>
      </c>
      <c r="T24" s="5">
        <v>0</v>
      </c>
      <c r="U24" s="5">
        <v>0</v>
      </c>
      <c r="V24" s="5">
        <v>0</v>
      </c>
      <c r="W24" s="6">
        <v>0</v>
      </c>
      <c r="X24" s="6">
        <v>0</v>
      </c>
      <c r="Y24" s="6">
        <v>0</v>
      </c>
      <c r="Z24" s="5">
        <v>0</v>
      </c>
      <c r="AA24" s="5">
        <v>0</v>
      </c>
    </row>
    <row r="25" spans="1:27" x14ac:dyDescent="0.25">
      <c r="A25" s="4" t="s">
        <v>40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4" t="s">
        <v>40</v>
      </c>
      <c r="R25" s="5">
        <v>0</v>
      </c>
      <c r="S25" s="5">
        <f t="shared" si="2"/>
        <v>0</v>
      </c>
      <c r="T25" s="5">
        <v>0</v>
      </c>
      <c r="U25" s="5">
        <v>0</v>
      </c>
      <c r="V25" s="5">
        <v>0</v>
      </c>
      <c r="W25" s="6">
        <v>0</v>
      </c>
      <c r="X25" s="6">
        <v>0</v>
      </c>
      <c r="Y25" s="6">
        <v>0</v>
      </c>
      <c r="Z25" s="5">
        <v>0</v>
      </c>
      <c r="AA25" s="5">
        <v>0</v>
      </c>
    </row>
    <row r="26" spans="1:27" x14ac:dyDescent="0.25">
      <c r="A26" s="4" t="s">
        <v>41</v>
      </c>
      <c r="B26" s="5">
        <v>0</v>
      </c>
      <c r="C26" s="5">
        <f t="shared" ref="C26:C27" si="6">B26</f>
        <v>0</v>
      </c>
      <c r="D26" s="5">
        <v>0</v>
      </c>
      <c r="E26" s="5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4" t="s">
        <v>41</v>
      </c>
      <c r="R26" s="5">
        <v>0</v>
      </c>
      <c r="S26" s="5">
        <f t="shared" si="2"/>
        <v>0</v>
      </c>
      <c r="T26" s="5">
        <v>0</v>
      </c>
      <c r="U26" s="5">
        <v>0</v>
      </c>
      <c r="V26" s="5">
        <v>0</v>
      </c>
      <c r="W26" s="6">
        <v>0</v>
      </c>
      <c r="X26" s="6">
        <v>0</v>
      </c>
      <c r="Y26" s="6">
        <v>0</v>
      </c>
      <c r="Z26" s="5">
        <v>0</v>
      </c>
      <c r="AA26" s="5">
        <v>0</v>
      </c>
    </row>
    <row r="27" spans="1:27" x14ac:dyDescent="0.25">
      <c r="A27" s="4" t="s">
        <v>42</v>
      </c>
      <c r="B27" s="5">
        <v>0</v>
      </c>
      <c r="C27" s="5">
        <f t="shared" si="6"/>
        <v>0</v>
      </c>
      <c r="D27" s="5">
        <v>0</v>
      </c>
      <c r="E27" s="5">
        <v>0</v>
      </c>
      <c r="F27" s="5">
        <v>0</v>
      </c>
      <c r="G27" s="6">
        <v>0</v>
      </c>
      <c r="H27" s="5">
        <v>0</v>
      </c>
      <c r="I27" s="6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4" t="s">
        <v>42</v>
      </c>
      <c r="R27" s="5">
        <v>0</v>
      </c>
      <c r="S27" s="5">
        <f t="shared" si="2"/>
        <v>0</v>
      </c>
      <c r="T27" s="5">
        <v>0</v>
      </c>
      <c r="U27" s="5">
        <v>0</v>
      </c>
      <c r="V27" s="5">
        <v>0</v>
      </c>
      <c r="W27" s="6">
        <v>0</v>
      </c>
      <c r="X27" s="6">
        <v>0</v>
      </c>
      <c r="Y27" s="6">
        <v>0</v>
      </c>
      <c r="Z27" s="5">
        <v>0</v>
      </c>
      <c r="AA27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Abbreviation</vt:lpstr>
      <vt:lpstr>Bengaluru</vt:lpstr>
      <vt:lpstr>Delhi</vt:lpstr>
      <vt:lpstr>Jaipur</vt:lpstr>
      <vt:lpstr>Hyderabad</vt:lpstr>
      <vt:lpstr>Mohali</vt:lpstr>
      <vt:lpstr>Mumbai</vt:lpstr>
      <vt:lpstr>Kolkata</vt:lpstr>
      <vt:lpstr>Chennai</vt:lpstr>
      <vt:lpstr>Ahmedabad</vt:lpstr>
      <vt:lpstr>Cuttak</vt:lpstr>
      <vt:lpstr>Nagpur</vt:lpstr>
      <vt:lpstr>Dharamshala</vt:lpstr>
      <vt:lpstr>Kochi</vt:lpstr>
      <vt:lpstr>Indore</vt:lpstr>
      <vt:lpstr>Visakhapatnam</vt:lpstr>
      <vt:lpstr>Pune</vt:lpstr>
      <vt:lpstr>Raipur</vt:lpstr>
      <vt:lpstr>Ranchi</vt:lpstr>
      <vt:lpstr>Kanpur</vt:lpstr>
      <vt:lpstr>Rajkot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barun</cp:lastModifiedBy>
  <cp:lastPrinted>2020-06-10T08:09:40Z</cp:lastPrinted>
  <dcterms:created xsi:type="dcterms:W3CDTF">2020-06-01T11:16:27Z</dcterms:created>
  <dcterms:modified xsi:type="dcterms:W3CDTF">2020-08-07T06:11:09Z</dcterms:modified>
</cp:coreProperties>
</file>